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22\OBMEN\_Прайсы\ДляСайта\"/>
    </mc:Choice>
  </mc:AlternateContent>
  <bookViews>
    <workbookView xWindow="0" yWindow="0" windowWidth="25470" windowHeight="9165"/>
  </bookViews>
  <sheets>
    <sheet name="Гигатерм Прайс" sheetId="7" r:id="rId1"/>
    <sheet name="Выгрузка из 1С" sheetId="9" state="hidden" r:id="rId2"/>
  </sheets>
  <definedNames>
    <definedName name="Print_Area" localSheetId="0">'Гигатерм Прайс'!$A$1:$AX$1557</definedName>
  </definedNames>
  <calcPr calcId="152511" refMode="R1C1"/>
</workbook>
</file>

<file path=xl/calcChain.xml><?xml version="1.0" encoding="utf-8"?>
<calcChain xmlns="http://schemas.openxmlformats.org/spreadsheetml/2006/main">
  <c r="AN1280" i="7" l="1"/>
  <c r="AN1281" i="7"/>
  <c r="AN1282" i="7"/>
  <c r="AN1283" i="7"/>
  <c r="AN1279" i="7"/>
  <c r="AN1257" i="7"/>
  <c r="AN1258" i="7"/>
  <c r="AN1259" i="7"/>
  <c r="AN1260" i="7"/>
  <c r="AN1261" i="7"/>
  <c r="AN1262" i="7"/>
  <c r="AN1263" i="7"/>
  <c r="AN1264" i="7"/>
  <c r="AN1265" i="7"/>
  <c r="AN1266" i="7"/>
  <c r="AN1267" i="7"/>
  <c r="AN1268" i="7"/>
  <c r="AN1269" i="7"/>
  <c r="AN1270" i="7"/>
  <c r="AN1271" i="7"/>
  <c r="AN1272" i="7"/>
  <c r="AN1273" i="7"/>
  <c r="AN1274" i="7"/>
  <c r="AN1275" i="7"/>
  <c r="AN1256" i="7"/>
  <c r="AN1214" i="7"/>
  <c r="AN1215" i="7"/>
  <c r="AN1216" i="7"/>
  <c r="AN1217" i="7"/>
  <c r="AN1218" i="7"/>
  <c r="AN1219" i="7"/>
  <c r="AN1220" i="7"/>
  <c r="AN1221" i="7"/>
  <c r="AN1222" i="7"/>
  <c r="AN1223" i="7"/>
  <c r="AN1224" i="7"/>
  <c r="AN1225" i="7"/>
  <c r="AN1226" i="7"/>
  <c r="AN1227" i="7"/>
  <c r="AN1228" i="7"/>
  <c r="AN1229" i="7"/>
  <c r="AN1230" i="7"/>
  <c r="AN1231" i="7"/>
  <c r="AN1232" i="7"/>
  <c r="AN1233" i="7"/>
  <c r="AN1234" i="7"/>
  <c r="AN1235" i="7"/>
  <c r="AN1236" i="7"/>
  <c r="AN1237" i="7"/>
  <c r="AN1238" i="7"/>
  <c r="AN1239" i="7"/>
  <c r="AN1240" i="7"/>
  <c r="AN1241" i="7"/>
  <c r="AN1242" i="7"/>
  <c r="AN1243" i="7"/>
  <c r="AN1244" i="7"/>
  <c r="AN1245" i="7"/>
  <c r="AN1246" i="7"/>
  <c r="AN1247" i="7"/>
  <c r="AN1248" i="7"/>
  <c r="AN1249" i="7"/>
  <c r="AN1250" i="7"/>
  <c r="AN1251" i="7"/>
  <c r="AN1252" i="7"/>
  <c r="AN1213" i="7"/>
  <c r="AN1146" i="7"/>
  <c r="AN1147" i="7"/>
  <c r="AN1148" i="7"/>
  <c r="AN1149" i="7"/>
  <c r="AN1150" i="7"/>
  <c r="AN1151" i="7"/>
  <c r="AN1152" i="7"/>
  <c r="AN1153" i="7"/>
  <c r="AN1154" i="7"/>
  <c r="AN1155" i="7"/>
  <c r="AN1156" i="7"/>
  <c r="AN1157" i="7"/>
  <c r="AN1158" i="7"/>
  <c r="AN1159" i="7"/>
  <c r="AN1160" i="7"/>
  <c r="AN1161" i="7"/>
  <c r="AN1162" i="7"/>
  <c r="AN1163" i="7"/>
  <c r="AN1164" i="7"/>
  <c r="AN1165" i="7"/>
  <c r="AN1166" i="7"/>
  <c r="AN1167" i="7"/>
  <c r="AN1168" i="7"/>
  <c r="AN1169" i="7"/>
  <c r="AN1170" i="7"/>
  <c r="AN1171" i="7"/>
  <c r="AN1172" i="7"/>
  <c r="AN1173" i="7"/>
  <c r="AN1174" i="7"/>
  <c r="AN1175" i="7"/>
  <c r="AN1176" i="7"/>
  <c r="AN1177" i="7"/>
  <c r="AN1178" i="7"/>
  <c r="AN1179" i="7"/>
  <c r="AN1180" i="7"/>
  <c r="AN1181" i="7"/>
  <c r="AN1182" i="7"/>
  <c r="AN1183" i="7"/>
  <c r="AN1184" i="7"/>
  <c r="AN1185" i="7"/>
  <c r="AN1186" i="7"/>
  <c r="AN1187" i="7"/>
  <c r="AN1188" i="7"/>
  <c r="AN1189" i="7"/>
  <c r="AN1190" i="7"/>
  <c r="AN1191" i="7"/>
  <c r="AN1192" i="7"/>
  <c r="AN1193" i="7"/>
  <c r="AN1194" i="7"/>
  <c r="AN1195" i="7"/>
  <c r="AN1196" i="7"/>
  <c r="AN1197" i="7"/>
  <c r="AN1198" i="7"/>
  <c r="AN1199" i="7"/>
  <c r="AN1200" i="7"/>
  <c r="AN1201" i="7"/>
  <c r="AN1202" i="7"/>
  <c r="AN1203" i="7"/>
  <c r="AN1204" i="7"/>
  <c r="AN1205" i="7"/>
  <c r="AN1206" i="7"/>
  <c r="AN1207" i="7"/>
  <c r="AN1208" i="7"/>
  <c r="AN1209" i="7"/>
  <c r="AN1210" i="7"/>
  <c r="AN1211" i="7"/>
  <c r="AN1145" i="7"/>
  <c r="AN1134" i="7"/>
  <c r="AN1135" i="7"/>
  <c r="AN1136" i="7"/>
  <c r="AN1137" i="7"/>
  <c r="AN1138" i="7"/>
  <c r="AN1139" i="7"/>
  <c r="AN1140" i="7"/>
  <c r="AN1141" i="7"/>
  <c r="AN1133" i="7"/>
  <c r="AN1115" i="7"/>
  <c r="AN1116" i="7"/>
  <c r="AN1117" i="7"/>
  <c r="AN1118" i="7"/>
  <c r="AN1119" i="7"/>
  <c r="AN1120" i="7"/>
  <c r="AN1121" i="7"/>
  <c r="AN1122" i="7"/>
  <c r="AN1123" i="7"/>
  <c r="AN1124" i="7"/>
  <c r="AN1125" i="7"/>
  <c r="AN1126" i="7"/>
  <c r="AN1127" i="7"/>
  <c r="AN1128" i="7"/>
  <c r="AN1129" i="7"/>
  <c r="AN1130" i="7"/>
  <c r="AN1131" i="7"/>
  <c r="AN1114" i="7"/>
  <c r="AN1105" i="7"/>
  <c r="AN1106" i="7"/>
  <c r="AN1107" i="7"/>
  <c r="AN1108" i="7"/>
  <c r="AN1109" i="7"/>
  <c r="AN1104" i="7"/>
  <c r="AN1086" i="7"/>
  <c r="AN1087" i="7"/>
  <c r="AN1088" i="7"/>
  <c r="AN1089" i="7"/>
  <c r="AN1090" i="7"/>
  <c r="AN1091" i="7"/>
  <c r="AN1092" i="7"/>
  <c r="AN1093" i="7"/>
  <c r="AN1094" i="7"/>
  <c r="AN1095" i="7"/>
  <c r="AN1096" i="7"/>
  <c r="AN1097" i="7"/>
  <c r="AN1098" i="7"/>
  <c r="AN1099" i="7"/>
  <c r="AN1100" i="7"/>
  <c r="AN1101" i="7"/>
  <c r="AN1102" i="7"/>
  <c r="AN1085" i="7"/>
  <c r="AN1068" i="7"/>
  <c r="AN1069" i="7"/>
  <c r="AN1070" i="7"/>
  <c r="AN1071" i="7"/>
  <c r="AN1072" i="7"/>
  <c r="AN1073" i="7"/>
  <c r="AN1074" i="7"/>
  <c r="AN1075" i="7"/>
  <c r="AN1076" i="7"/>
  <c r="AN1077" i="7"/>
  <c r="AN1078" i="7"/>
  <c r="AN1079" i="7"/>
  <c r="AN1080" i="7"/>
  <c r="AN1067" i="7"/>
  <c r="AN1049" i="7"/>
  <c r="AN1050" i="7"/>
  <c r="AN1051" i="7"/>
  <c r="AN1052" i="7"/>
  <c r="AN1053" i="7"/>
  <c r="AN1054" i="7"/>
  <c r="AN1055" i="7"/>
  <c r="AN1056" i="7"/>
  <c r="AN1057" i="7"/>
  <c r="AN1058" i="7"/>
  <c r="AN1059" i="7"/>
  <c r="AN1060" i="7"/>
  <c r="AN1061" i="7"/>
  <c r="AN1062" i="7"/>
  <c r="AN1063" i="7"/>
  <c r="AN1064" i="7"/>
  <c r="AN1065" i="7"/>
  <c r="AN1048" i="7"/>
  <c r="AN1022" i="7" l="1"/>
  <c r="AN1021" i="7"/>
  <c r="AN1020" i="7"/>
  <c r="AN1019" i="7"/>
  <c r="AN1018" i="7"/>
  <c r="AN1017" i="7"/>
  <c r="AN1016" i="7"/>
  <c r="AN1015" i="7"/>
  <c r="AN1014" i="7"/>
  <c r="AN1013" i="7"/>
  <c r="AN1012" i="7"/>
  <c r="AN1011" i="7"/>
  <c r="AN1010" i="7"/>
  <c r="AN1009" i="7"/>
  <c r="AN1008" i="7"/>
  <c r="AN1007" i="7"/>
  <c r="AN1006" i="7"/>
  <c r="AN1005" i="7"/>
  <c r="AN1004" i="7"/>
  <c r="AN1003" i="7"/>
  <c r="AN1002" i="7"/>
  <c r="AN1001" i="7"/>
  <c r="AN1000" i="7"/>
  <c r="AN999" i="7"/>
  <c r="AN998" i="7"/>
  <c r="AN997" i="7"/>
  <c r="AN996" i="7"/>
  <c r="AN995" i="7"/>
  <c r="AN994" i="7"/>
  <c r="AN993" i="7"/>
  <c r="AN992" i="7"/>
  <c r="AN991" i="7"/>
  <c r="AN990" i="7"/>
  <c r="AN989" i="7"/>
  <c r="AN988" i="7"/>
  <c r="AN986" i="7"/>
  <c r="AN985" i="7"/>
  <c r="AN984" i="7"/>
  <c r="AN983" i="7"/>
  <c r="AN1024" i="7"/>
  <c r="AN1025" i="7"/>
  <c r="AN1026" i="7"/>
  <c r="AN1027" i="7"/>
  <c r="AN1028" i="7"/>
  <c r="AN1029" i="7"/>
  <c r="AN1030" i="7"/>
  <c r="AN1031" i="7"/>
  <c r="AN1032" i="7"/>
  <c r="AN1033" i="7"/>
  <c r="AN1034" i="7"/>
  <c r="AN1035" i="7"/>
  <c r="AN1036" i="7"/>
  <c r="AN1037" i="7"/>
  <c r="AN1038" i="7"/>
  <c r="AN1039" i="7"/>
  <c r="AN1040" i="7"/>
  <c r="AN1041" i="7"/>
  <c r="AN982" i="7"/>
  <c r="AN981" i="7"/>
  <c r="AN980" i="7"/>
  <c r="AN979" i="7"/>
  <c r="AN978" i="7"/>
  <c r="AN977" i="7"/>
  <c r="AN976" i="7"/>
  <c r="AN975" i="7"/>
  <c r="AN974" i="7"/>
  <c r="AN973" i="7"/>
  <c r="AN972" i="7"/>
  <c r="AN971" i="7"/>
  <c r="AN969" i="7"/>
  <c r="AN968" i="7"/>
  <c r="AN967" i="7"/>
  <c r="AN966" i="7"/>
  <c r="AN965" i="7"/>
  <c r="AN964" i="7"/>
  <c r="AN963" i="7"/>
  <c r="AN962" i="7"/>
  <c r="AN961" i="7"/>
  <c r="AN960" i="7"/>
  <c r="AN959" i="7"/>
  <c r="AN958" i="7"/>
  <c r="AN957" i="7"/>
  <c r="AN956" i="7"/>
  <c r="AN955" i="7"/>
  <c r="AN954" i="7"/>
  <c r="AN953" i="7"/>
  <c r="AN952" i="7"/>
  <c r="AN951" i="7"/>
  <c r="AN950" i="7"/>
  <c r="AN949" i="7"/>
  <c r="AN948" i="7"/>
  <c r="AN947" i="7"/>
  <c r="AN946" i="7"/>
  <c r="AN945" i="7"/>
  <c r="AN944" i="7"/>
  <c r="AN943" i="7"/>
  <c r="AN942" i="7"/>
  <c r="AN941" i="7"/>
  <c r="AN940" i="7"/>
  <c r="AN939" i="7"/>
  <c r="AN938" i="7"/>
  <c r="AN937" i="7"/>
  <c r="AN936" i="7"/>
  <c r="AN935" i="7"/>
  <c r="AN934" i="7"/>
  <c r="AN933" i="7"/>
  <c r="AN932" i="7"/>
  <c r="AN931" i="7"/>
  <c r="AN930" i="7"/>
  <c r="AN929" i="7"/>
  <c r="AN928" i="7"/>
  <c r="AN927" i="7"/>
  <c r="AN926" i="7"/>
  <c r="AN925" i="7"/>
  <c r="AN924" i="7"/>
  <c r="AN923" i="7"/>
  <c r="AN922" i="7"/>
  <c r="AN921" i="7"/>
  <c r="AN920" i="7"/>
  <c r="AN919" i="7"/>
  <c r="AN918" i="7"/>
  <c r="AN917" i="7"/>
  <c r="AN916" i="7"/>
  <c r="AN915" i="7"/>
  <c r="AN914" i="7"/>
  <c r="AN913" i="7"/>
  <c r="AN912" i="7"/>
  <c r="AN911" i="7"/>
  <c r="AN910" i="7"/>
  <c r="AN909" i="7"/>
  <c r="AN908" i="7"/>
  <c r="AN907" i="7"/>
  <c r="AN906" i="7"/>
  <c r="AN905" i="7"/>
  <c r="AN904" i="7"/>
  <c r="AN903" i="7"/>
  <c r="AN902" i="7"/>
  <c r="AN901" i="7"/>
  <c r="AN900" i="7"/>
  <c r="AN899" i="7"/>
  <c r="AN898" i="7"/>
  <c r="AN897" i="7"/>
  <c r="AN896" i="7"/>
  <c r="AN895" i="7"/>
  <c r="AN894" i="7"/>
  <c r="AN893" i="7"/>
  <c r="AN892" i="7"/>
  <c r="AN890" i="7"/>
  <c r="AN889" i="7"/>
  <c r="AN888" i="7"/>
  <c r="AN887" i="7"/>
  <c r="AN886" i="7"/>
  <c r="AN885" i="7"/>
  <c r="AN884" i="7"/>
  <c r="AN883" i="7"/>
  <c r="AN882" i="7"/>
  <c r="AN881" i="7"/>
  <c r="AN880" i="7"/>
  <c r="AN879" i="7"/>
  <c r="AN878" i="7"/>
  <c r="AN877" i="7"/>
  <c r="AN876" i="7"/>
  <c r="AN875" i="7"/>
  <c r="AN874" i="7"/>
  <c r="AN873" i="7"/>
  <c r="AN872" i="7"/>
  <c r="AN871" i="7"/>
  <c r="AN870" i="7"/>
  <c r="AN869" i="7"/>
  <c r="AN868" i="7"/>
  <c r="AN867" i="7"/>
  <c r="AN864" i="7"/>
  <c r="AN866" i="7"/>
  <c r="AN865" i="7"/>
  <c r="AN580" i="7" l="1"/>
  <c r="AN579" i="7"/>
  <c r="AN578" i="7"/>
  <c r="AN577" i="7"/>
  <c r="AN576" i="7"/>
  <c r="AN575" i="7"/>
  <c r="AN574" i="7"/>
  <c r="AN573" i="7"/>
  <c r="AN572" i="7"/>
  <c r="AN566" i="7"/>
  <c r="AN565" i="7"/>
  <c r="AN564" i="7"/>
  <c r="AN563" i="7"/>
  <c r="AN562" i="7"/>
  <c r="AN561" i="7"/>
  <c r="AN560" i="7"/>
  <c r="AN559" i="7"/>
  <c r="AN558" i="7"/>
  <c r="AN543" i="7"/>
  <c r="AN553" i="7"/>
  <c r="AN552" i="7"/>
  <c r="AN551" i="7"/>
  <c r="AN550" i="7"/>
  <c r="AN546" i="7"/>
  <c r="AN545" i="7"/>
  <c r="AN544" i="7"/>
  <c r="AN539" i="7"/>
  <c r="AN538" i="7"/>
  <c r="AN537" i="7"/>
  <c r="AN536" i="7"/>
  <c r="AN535" i="7"/>
  <c r="AN534" i="7"/>
  <c r="AN533" i="7"/>
  <c r="AN532" i="7"/>
  <c r="AQ605" i="7"/>
  <c r="AN605" i="7"/>
  <c r="AK605" i="7"/>
  <c r="AH605" i="7"/>
  <c r="AE605" i="7"/>
  <c r="AB605" i="7"/>
  <c r="Y605" i="7"/>
  <c r="V605" i="7"/>
  <c r="S605" i="7"/>
  <c r="P605" i="7"/>
  <c r="M605" i="7"/>
  <c r="AK603" i="7"/>
  <c r="AH603" i="7"/>
  <c r="AE603" i="7"/>
  <c r="AB603" i="7"/>
  <c r="Y603" i="7"/>
  <c r="V603" i="7"/>
  <c r="S603" i="7"/>
  <c r="P603" i="7"/>
  <c r="M603" i="7"/>
  <c r="J603" i="7"/>
  <c r="G603" i="7"/>
  <c r="Y591" i="7"/>
  <c r="V591" i="7"/>
  <c r="AQ591" i="7"/>
  <c r="AN591" i="7"/>
  <c r="AK591" i="7"/>
  <c r="AH591" i="7"/>
  <c r="AE591" i="7"/>
  <c r="AB591" i="7"/>
  <c r="S591" i="7"/>
  <c r="P591" i="7"/>
  <c r="M591" i="7"/>
  <c r="AQ590" i="7"/>
  <c r="AN590" i="7"/>
  <c r="AK590" i="7"/>
  <c r="AH590" i="7"/>
  <c r="AE590" i="7"/>
  <c r="AB590" i="7"/>
  <c r="Y590" i="7"/>
  <c r="V590" i="7"/>
  <c r="S590" i="7"/>
  <c r="P590" i="7"/>
  <c r="M590" i="7"/>
  <c r="M587" i="7"/>
  <c r="G587" i="7"/>
  <c r="AK588" i="7"/>
  <c r="AH588" i="7"/>
  <c r="AE588" i="7"/>
  <c r="AB588" i="7"/>
  <c r="Y588" i="7"/>
  <c r="V588" i="7"/>
  <c r="S588" i="7"/>
  <c r="P588" i="7"/>
  <c r="M588" i="7"/>
  <c r="J588" i="7"/>
  <c r="P587" i="7"/>
  <c r="AK587" i="7"/>
  <c r="AH587" i="7"/>
  <c r="AE587" i="7"/>
  <c r="AB587" i="7"/>
  <c r="Y587" i="7"/>
  <c r="V587" i="7"/>
  <c r="S587" i="7"/>
  <c r="J587" i="7"/>
  <c r="AK596" i="7"/>
  <c r="G596" i="7"/>
  <c r="G595" i="7"/>
  <c r="AL523" i="7" l="1"/>
  <c r="AL521" i="7"/>
  <c r="AL519" i="7"/>
  <c r="AD523" i="7"/>
  <c r="AD527" i="7"/>
  <c r="AD526" i="7"/>
  <c r="AD525" i="7"/>
  <c r="AD524" i="7"/>
  <c r="AD522" i="7"/>
  <c r="AD521" i="7"/>
  <c r="AD520" i="7"/>
  <c r="AD518" i="7"/>
  <c r="AL508" i="7"/>
  <c r="AL507" i="7"/>
  <c r="AL506" i="7"/>
  <c r="AL505" i="7"/>
  <c r="AL504" i="7"/>
  <c r="AL503" i="7"/>
  <c r="V513" i="7"/>
  <c r="V512" i="7"/>
  <c r="V511" i="7"/>
  <c r="V510" i="7"/>
  <c r="N513" i="7"/>
  <c r="N512" i="7"/>
  <c r="N511" i="7"/>
  <c r="N510" i="7"/>
  <c r="V509" i="7"/>
  <c r="N506" i="7"/>
  <c r="V506" i="7"/>
  <c r="V505" i="7"/>
  <c r="V504" i="7"/>
  <c r="V503" i="7"/>
  <c r="V508" i="7"/>
  <c r="V507" i="7"/>
  <c r="N509" i="7"/>
  <c r="N508" i="7"/>
  <c r="N507" i="7"/>
  <c r="N505" i="7"/>
  <c r="N504" i="7"/>
  <c r="N503" i="7"/>
  <c r="AO495" i="7" l="1"/>
  <c r="AE495" i="7"/>
  <c r="U495" i="7"/>
  <c r="AO490" i="7"/>
  <c r="AE490" i="7"/>
  <c r="U490" i="7"/>
  <c r="AO489" i="7"/>
  <c r="AE489" i="7"/>
  <c r="U489" i="7"/>
  <c r="AO488" i="7"/>
  <c r="AE488" i="7"/>
  <c r="U488" i="7"/>
  <c r="AO487" i="7"/>
  <c r="AE487" i="7"/>
  <c r="U487" i="7"/>
  <c r="AO486" i="7"/>
  <c r="AE486" i="7"/>
  <c r="U486" i="7"/>
  <c r="AO485" i="7"/>
  <c r="AE485" i="7"/>
  <c r="U485" i="7"/>
  <c r="AO484" i="7"/>
  <c r="AE484" i="7"/>
  <c r="U484" i="7"/>
  <c r="AO483" i="7"/>
  <c r="AE483" i="7"/>
  <c r="U483" i="7"/>
  <c r="AO482" i="7"/>
  <c r="AE482" i="7"/>
  <c r="U482" i="7"/>
  <c r="AO481" i="7"/>
  <c r="AE481" i="7"/>
  <c r="U481" i="7"/>
  <c r="AO480" i="7"/>
  <c r="AE480" i="7"/>
  <c r="U480" i="7"/>
  <c r="AO479" i="7"/>
  <c r="AE479" i="7"/>
  <c r="U479" i="7"/>
  <c r="AO478" i="7"/>
  <c r="AE478" i="7"/>
  <c r="U478" i="7"/>
  <c r="AO477" i="7"/>
  <c r="AE477" i="7"/>
  <c r="U477" i="7"/>
  <c r="AO476" i="7"/>
  <c r="AE476" i="7"/>
  <c r="U476" i="7"/>
  <c r="AO475" i="7"/>
  <c r="AE475" i="7"/>
  <c r="U475" i="7"/>
  <c r="AO468" i="7"/>
  <c r="AE468" i="7"/>
  <c r="U468" i="7"/>
  <c r="AO467" i="7"/>
  <c r="AE467" i="7"/>
  <c r="U467" i="7"/>
  <c r="AO466" i="7"/>
  <c r="AE466" i="7"/>
  <c r="U466" i="7"/>
  <c r="AO465" i="7"/>
  <c r="AE465" i="7"/>
  <c r="U465" i="7"/>
  <c r="AO464" i="7"/>
  <c r="AE464" i="7"/>
  <c r="U464" i="7"/>
  <c r="AO463" i="7"/>
  <c r="AE463" i="7"/>
  <c r="U463" i="7"/>
  <c r="AO462" i="7"/>
  <c r="AE462" i="7"/>
  <c r="U462" i="7"/>
  <c r="AO461" i="7"/>
  <c r="AE461" i="7"/>
  <c r="U461" i="7"/>
  <c r="AO456" i="7"/>
  <c r="AE456" i="7"/>
  <c r="U456" i="7"/>
  <c r="AO455" i="7"/>
  <c r="AE455" i="7"/>
  <c r="U455" i="7"/>
  <c r="AO454" i="7"/>
  <c r="AE454" i="7"/>
  <c r="U454" i="7"/>
  <c r="AO453" i="7"/>
  <c r="AE453" i="7"/>
  <c r="U453" i="7"/>
  <c r="AO452" i="7"/>
  <c r="AE452" i="7"/>
  <c r="U452" i="7"/>
  <c r="AO451" i="7"/>
  <c r="AE451" i="7"/>
  <c r="U451" i="7"/>
  <c r="AO450" i="7"/>
  <c r="AE450" i="7"/>
  <c r="U450" i="7"/>
  <c r="AO449" i="7"/>
  <c r="AE449" i="7"/>
  <c r="U449" i="7"/>
  <c r="AO448" i="7"/>
  <c r="AE448" i="7"/>
  <c r="U448" i="7"/>
  <c r="AO447" i="7"/>
  <c r="AE447" i="7"/>
  <c r="U447" i="7"/>
  <c r="AO446" i="7"/>
  <c r="AE446" i="7"/>
  <c r="U446" i="7"/>
  <c r="AO445" i="7"/>
  <c r="AE445" i="7"/>
  <c r="U445" i="7"/>
  <c r="AO444" i="7"/>
  <c r="AE444" i="7"/>
  <c r="U444" i="7"/>
  <c r="AO443" i="7"/>
  <c r="AE443" i="7"/>
  <c r="U443" i="7"/>
  <c r="AO442" i="7"/>
  <c r="AE442" i="7"/>
  <c r="U442" i="7"/>
  <c r="AO441" i="7"/>
  <c r="AE441" i="7"/>
  <c r="U441" i="7"/>
  <c r="AO436" i="7"/>
  <c r="AE436" i="7"/>
  <c r="U436" i="7"/>
  <c r="AO435" i="7"/>
  <c r="AE435" i="7"/>
  <c r="U435" i="7"/>
  <c r="AO434" i="7"/>
  <c r="AE434" i="7"/>
  <c r="U434" i="7"/>
  <c r="AO433" i="7"/>
  <c r="U433" i="7"/>
  <c r="AE433" i="7"/>
  <c r="AO428" i="7"/>
  <c r="AE428" i="7"/>
  <c r="U428" i="7"/>
  <c r="AO427" i="7"/>
  <c r="AE427" i="7"/>
  <c r="U427" i="7"/>
  <c r="AO426" i="7"/>
  <c r="AE426" i="7"/>
  <c r="U426" i="7"/>
  <c r="AO425" i="7"/>
  <c r="AE425" i="7"/>
  <c r="U425" i="7"/>
  <c r="AO424" i="7"/>
  <c r="AE424" i="7"/>
  <c r="U424" i="7"/>
  <c r="AO423" i="7"/>
  <c r="AE423" i="7"/>
  <c r="U423" i="7"/>
  <c r="AO422" i="7"/>
  <c r="AE422" i="7"/>
  <c r="U422" i="7"/>
  <c r="AE421" i="7"/>
  <c r="AO421" i="7"/>
  <c r="U421" i="7"/>
  <c r="AO420" i="7"/>
  <c r="AE420" i="7"/>
  <c r="U420" i="7"/>
  <c r="AO419" i="7"/>
  <c r="AE419" i="7"/>
  <c r="U419" i="7"/>
  <c r="AL387" i="7" l="1"/>
  <c r="AP387" i="7"/>
  <c r="AD387" i="7"/>
  <c r="AH387" i="7"/>
  <c r="V387" i="7"/>
  <c r="Z387" i="7"/>
  <c r="R387" i="7"/>
  <c r="N387" i="7"/>
  <c r="AP386" i="7"/>
  <c r="AL386" i="7"/>
  <c r="AH386" i="7"/>
  <c r="AD386" i="7"/>
  <c r="Z386" i="7"/>
  <c r="V386" i="7"/>
  <c r="R386" i="7"/>
  <c r="N386" i="7"/>
  <c r="AE366" i="7"/>
  <c r="AE364" i="7"/>
  <c r="P372" i="7"/>
  <c r="P371" i="7"/>
  <c r="P370" i="7"/>
  <c r="P369" i="7"/>
  <c r="P367" i="7"/>
  <c r="P368" i="7"/>
  <c r="P366" i="7"/>
  <c r="P365" i="7"/>
  <c r="P364" i="7"/>
  <c r="P363" i="7"/>
  <c r="P362" i="7"/>
  <c r="P361" i="7"/>
  <c r="AH338" i="7" l="1"/>
  <c r="AH336" i="7"/>
  <c r="U340" i="7"/>
  <c r="U339" i="7"/>
  <c r="U338" i="7"/>
  <c r="U337" i="7"/>
  <c r="U336" i="7"/>
  <c r="J335" i="7"/>
  <c r="J336" i="7"/>
  <c r="J337" i="7"/>
  <c r="J338" i="7"/>
  <c r="J339" i="7"/>
  <c r="J340" i="7"/>
  <c r="J341" i="7"/>
  <c r="J342" i="7"/>
  <c r="J343" i="7"/>
  <c r="J344" i="7"/>
  <c r="J345" i="7"/>
  <c r="U316" i="7"/>
  <c r="AA316" i="7"/>
  <c r="AA317" i="7"/>
  <c r="U315" i="7"/>
  <c r="AA315" i="7"/>
  <c r="AA314" i="7"/>
  <c r="AA313" i="7"/>
  <c r="U317" i="7"/>
  <c r="U314" i="7"/>
  <c r="U313" i="7"/>
  <c r="O320" i="7"/>
  <c r="O321" i="7"/>
  <c r="O319" i="7"/>
  <c r="O316" i="7"/>
  <c r="O317" i="7"/>
  <c r="O318" i="7"/>
  <c r="O315" i="7"/>
  <c r="O314" i="7"/>
  <c r="O322" i="7"/>
  <c r="O313" i="7"/>
  <c r="O312" i="7"/>
  <c r="I319" i="7"/>
  <c r="I320" i="7"/>
  <c r="I317" i="7"/>
  <c r="I318" i="7"/>
  <c r="I316" i="7"/>
  <c r="I315" i="7"/>
  <c r="I314" i="7"/>
  <c r="I322" i="7"/>
  <c r="I313" i="7"/>
  <c r="I321" i="7"/>
  <c r="I312" i="7"/>
  <c r="AN284" i="7"/>
  <c r="AN286" i="7"/>
  <c r="AN285" i="7"/>
  <c r="AH285" i="7"/>
  <c r="AH284" i="7"/>
  <c r="AN283" i="7"/>
  <c r="AH283" i="7"/>
  <c r="AN282" i="7"/>
  <c r="AH282" i="7"/>
  <c r="AN281" i="7"/>
  <c r="AH281" i="7"/>
  <c r="AN280" i="7"/>
  <c r="AH280" i="7"/>
  <c r="AN279" i="7"/>
  <c r="AN278" i="7"/>
  <c r="AH278" i="7"/>
  <c r="AN277" i="7"/>
  <c r="AB286" i="7"/>
  <c r="V285" i="7"/>
  <c r="AB285" i="7"/>
  <c r="AB284" i="7"/>
  <c r="V284" i="7"/>
  <c r="V283" i="7"/>
  <c r="AB283" i="7"/>
  <c r="AB282" i="7"/>
  <c r="AB281" i="7"/>
  <c r="V282" i="7"/>
  <c r="V281" i="7"/>
  <c r="V280" i="7"/>
  <c r="AB280" i="7"/>
  <c r="AB279" i="7"/>
  <c r="V278" i="7"/>
  <c r="AB277" i="7"/>
  <c r="AB278" i="7"/>
  <c r="P286" i="7"/>
  <c r="P285" i="7"/>
  <c r="P284" i="7"/>
  <c r="P283" i="7"/>
  <c r="P282" i="7"/>
  <c r="P281" i="7"/>
  <c r="P280" i="7"/>
  <c r="J285" i="7"/>
  <c r="J284" i="7"/>
  <c r="J281" i="7"/>
  <c r="J282" i="7"/>
  <c r="J283" i="7"/>
  <c r="J280" i="7"/>
  <c r="J278" i="7"/>
  <c r="P279" i="7"/>
  <c r="P278" i="7"/>
  <c r="P277" i="7"/>
  <c r="AH225" i="7" l="1"/>
  <c r="AH224" i="7"/>
  <c r="AH223" i="7"/>
  <c r="AH219" i="7"/>
  <c r="AH218" i="7"/>
  <c r="AH217" i="7"/>
  <c r="AH254" i="7"/>
  <c r="AH255" i="7"/>
  <c r="AH253" i="7"/>
  <c r="AH252" i="7"/>
  <c r="AH251" i="7"/>
  <c r="AH250" i="7"/>
  <c r="AH249" i="7"/>
  <c r="AH248" i="7"/>
  <c r="AH247" i="7"/>
  <c r="AN200" i="7"/>
  <c r="AN199" i="7"/>
  <c r="AN187" i="7"/>
  <c r="AN194" i="7"/>
  <c r="AN191" i="7"/>
  <c r="AN193" i="7"/>
  <c r="AN192" i="7"/>
  <c r="AN183" i="7"/>
  <c r="AN182" i="7"/>
  <c r="AN181" i="7"/>
  <c r="AN175" i="7"/>
  <c r="AN177" i="7"/>
  <c r="AN176" i="7"/>
  <c r="AH244" i="7" l="1"/>
  <c r="AH246" i="7"/>
  <c r="AH245" i="7"/>
  <c r="AN243" i="7"/>
  <c r="AN242" i="7"/>
  <c r="AN241" i="7"/>
  <c r="AN240" i="7"/>
  <c r="AN239" i="7"/>
  <c r="AN238" i="7"/>
  <c r="AN237" i="7"/>
  <c r="AN236" i="7"/>
  <c r="AN235" i="7"/>
  <c r="AN234" i="7"/>
  <c r="AN233" i="7"/>
  <c r="AN232" i="7"/>
  <c r="AN231" i="7"/>
  <c r="AN230" i="7"/>
  <c r="AN229" i="7"/>
  <c r="AN228" i="7"/>
  <c r="AN227" i="7"/>
  <c r="AN226" i="7"/>
  <c r="AN222" i="7"/>
  <c r="AN221" i="7"/>
  <c r="AN220" i="7"/>
  <c r="AH243" i="7"/>
  <c r="AH242" i="7"/>
  <c r="AH241" i="7"/>
  <c r="AH240" i="7"/>
  <c r="AH239" i="7"/>
  <c r="AH238" i="7"/>
  <c r="AH237" i="7"/>
  <c r="AH236" i="7"/>
  <c r="AH235" i="7"/>
  <c r="AH234" i="7"/>
  <c r="AH233" i="7"/>
  <c r="AH232" i="7"/>
  <c r="AH231" i="7"/>
  <c r="AH230" i="7"/>
  <c r="AH229" i="7"/>
  <c r="AH228" i="7"/>
  <c r="AH227" i="7"/>
  <c r="AH226" i="7"/>
  <c r="AH222" i="7"/>
  <c r="AH221" i="7"/>
  <c r="AH220" i="7"/>
  <c r="AN210" i="7"/>
  <c r="AN209" i="7"/>
  <c r="AN208" i="7"/>
  <c r="AN207" i="7"/>
  <c r="AN206" i="7"/>
  <c r="AN205" i="7"/>
  <c r="AN167" i="7" l="1"/>
  <c r="AN166" i="7"/>
  <c r="AN165" i="7"/>
  <c r="AN164" i="7"/>
  <c r="AN163" i="7"/>
  <c r="AN162" i="7"/>
  <c r="AN161" i="7"/>
  <c r="AN160" i="7"/>
  <c r="AN159" i="7"/>
  <c r="AN158" i="7"/>
  <c r="AN157" i="7"/>
  <c r="AN156" i="7"/>
  <c r="AN155" i="7"/>
  <c r="AN154" i="7"/>
  <c r="AN126" i="7"/>
  <c r="AN134" i="7"/>
  <c r="AN133" i="7"/>
  <c r="AN132" i="7"/>
  <c r="AN131" i="7"/>
  <c r="AN130" i="7"/>
  <c r="AN129" i="7"/>
  <c r="AN128" i="7"/>
  <c r="AN127" i="7"/>
  <c r="AN125" i="7"/>
  <c r="AN124" i="7"/>
  <c r="AN123" i="7"/>
  <c r="AN119" i="7" l="1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2" i="7"/>
  <c r="AN101" i="7"/>
  <c r="AN100" i="7"/>
  <c r="AN99" i="7"/>
  <c r="AN98" i="7"/>
  <c r="AN97" i="7"/>
  <c r="AN91" i="7"/>
  <c r="AN93" i="7"/>
  <c r="AN92" i="7"/>
  <c r="AH86" i="7"/>
  <c r="AH85" i="7"/>
  <c r="AH84" i="7"/>
  <c r="AH81" i="7"/>
  <c r="AH82" i="7"/>
  <c r="AN86" i="7"/>
  <c r="AN85" i="7"/>
  <c r="AN84" i="7"/>
  <c r="AN83" i="7"/>
  <c r="AN82" i="7"/>
  <c r="AN81" i="7"/>
  <c r="AH83" i="7"/>
  <c r="AN147" i="7" l="1"/>
  <c r="AN141" i="7"/>
  <c r="AN140" i="7"/>
  <c r="AN139" i="7"/>
  <c r="AN137" i="7"/>
  <c r="J306" i="7" l="1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AN149" i="7"/>
  <c r="AN146" i="7"/>
  <c r="AN138" i="7"/>
</calcChain>
</file>

<file path=xl/sharedStrings.xml><?xml version="1.0" encoding="utf-8"?>
<sst xmlns="http://schemas.openxmlformats.org/spreadsheetml/2006/main" count="7670" uniqueCount="3303">
  <si>
    <t>Тепловычислитель СПТ940</t>
  </si>
  <si>
    <t>Тепловычислитель СПТ941.20</t>
  </si>
  <si>
    <t>Тепловычислитель СПТ944</t>
  </si>
  <si>
    <t>Подключаемые датчики:
-8 преобразователей с выходным сигналом тока 0-5, 0-20 или 4-20 мА;
-4 преобразователя с выходным числоимпульсным или частотным сигналом 0-5 кГц;
-4 термопреобразователя сопротивления с характеристикой 50П, 100П, 50М, 100М.
Электропитание 220 В ± 30%, 50 Гц.</t>
  </si>
  <si>
    <t>Тепловычислитель СПТ962</t>
  </si>
  <si>
    <t>Подключаемые датчики:
- 3 преобразователя расхода с импульсным выходом частотой до 1000 Гц,
- 2 преобразователя давления с выходным сигналом 4 - 20 мА,
- 2 преобразователя температуры с характеристиками 100П, Pt100, 100M. 
Электропитание Встроенная батарея 3,6 В и (или) внешнее 12 В постоянного тока.</t>
  </si>
  <si>
    <t>Тепловычислитель СПТ963</t>
  </si>
  <si>
    <t>Тепловычислитель ВКТ-9-01</t>
  </si>
  <si>
    <t>Тепловычислитель ВКТ-9-02</t>
  </si>
  <si>
    <t>Вычислитель количества газа с автономным питанием (либо сетевым по заказу). Учет газа по 2-м газопроводам.</t>
  </si>
  <si>
    <t>Вычислитель количества газа. Учет газа по 3-м газопроводам.</t>
  </si>
  <si>
    <t>Тепловычислитель ВКТ-9-01
(с модулем питания и БП)</t>
  </si>
  <si>
    <t>Тепловычислитель ВКТ-9-02
(с модулем питания и БП)</t>
  </si>
  <si>
    <t>Тепловычислитель ВКТ-5</t>
  </si>
  <si>
    <t>Тепловычислитель ВКТ-7-01</t>
  </si>
  <si>
    <t>Тепловычислитель ВКТ-7-02</t>
  </si>
  <si>
    <t>Тепловычислитель ВКТ-7-03</t>
  </si>
  <si>
    <t>Тепловычислитель ВКТ-7-04</t>
  </si>
  <si>
    <t>Тепловычислитель ВКТ-7-04P</t>
  </si>
  <si>
    <t>Вычислитель количества газа ВКГ-3Т</t>
  </si>
  <si>
    <t xml:space="preserve">Вычислитель количества газа ВКГ-2 </t>
  </si>
  <si>
    <t>С автономным питанием и возможностью подключения до 6-и датчиков расхода, 4-х датчиков температуры и 3-х датчиков давления. Контроль питания датчиков расхода.</t>
  </si>
  <si>
    <t>С автономным питанием и возможностью подключения до 9-и датчиков расхода, 8-и датчиков температуры и 6-и датчиков давления. Контроль питания датчиков расхода.</t>
  </si>
  <si>
    <t>С автономным и сетевым питанием и возможностью подключения до 6-и датчиков расхода, 4-х датчиков температуры и 3-х датчиков давления. Контроль питания датчиков расхода. Питание датчиков давления.</t>
  </si>
  <si>
    <t>С автономным и сетевым питанием и возможностью подключения до 9-и датчиков расхода, 8-и датчиков температуры и 6-и датчиков давления. Контроль питания датчиков расхода. Питание датчиков давления.</t>
  </si>
  <si>
    <t>С автономным питанием и возможностью подключения до 4-х датчиков расхода и 2-х температуры. Без контроля питания датчиков, батарея на 5 лет.</t>
  </si>
  <si>
    <t>С автономным питанием и возможностью подключения до 5-ти датчиков расхода и 2-х температуры. Контроль питания датчиков расхода, батарея на 10 лет.</t>
  </si>
  <si>
    <t>С автономным питанием и возможностью подключения до 7-ми датчиков расхода и 5-ти температуры. Контроль питания датчиков расхода, батарея на 10 лет.</t>
  </si>
  <si>
    <t>С автономным питанием и возможностью подключения до 7-ми датчиков расхода и 5-ти температуры, 4-х датчиков избыточного давления. Контроль питания датчиков расхода, батарея на 10 лет.</t>
  </si>
  <si>
    <t>С автономным питанием и возможностью подключения до 6-ти датчиков расхода и 5-ти температуры, 5-ти датчиков избыточного давления. Контроль питания датчиков расхода, батарея на 10 лет.</t>
  </si>
  <si>
    <t>Со свободной конфигурацией схем теплоснабжения, возможностью подключения 8-ми числоимпульсных (частотных расходомеров), 8-ми токовых сигналов и 8-ми датчиков температуры. Учет пара.</t>
  </si>
  <si>
    <t>Класс</t>
  </si>
  <si>
    <t>Цена, руб.</t>
  </si>
  <si>
    <t>Исполнение</t>
  </si>
  <si>
    <t>Фланцевое</t>
  </si>
  <si>
    <t>Ду, мм.</t>
  </si>
  <si>
    <t>B1</t>
  </si>
  <si>
    <t>C1</t>
  </si>
  <si>
    <t>D</t>
  </si>
  <si>
    <t>0,027 – 12/6*</t>
  </si>
  <si>
    <t>0,048 – 12/6*</t>
  </si>
  <si>
    <t>0,08 – 12/6*</t>
  </si>
  <si>
    <t>0,067 – 30/15*</t>
  </si>
  <si>
    <t>0,12 – 30/15*</t>
  </si>
  <si>
    <t>0,2 – 30/15*</t>
  </si>
  <si>
    <t>0,1 – 45/22,5*</t>
  </si>
  <si>
    <t>0,18 – 45/22,5*</t>
  </si>
  <si>
    <t>0,3 – 45/22,5*</t>
  </si>
  <si>
    <t>0,16 – 72/36*</t>
  </si>
  <si>
    <t>0,29 – 72/36*</t>
  </si>
  <si>
    <t>0,48 – 72/36*</t>
  </si>
  <si>
    <t>0,27 – 120/60*</t>
  </si>
  <si>
    <t>0,48 – 120/60*</t>
  </si>
  <si>
    <t>0,8 – 120/60*</t>
  </si>
  <si>
    <t>0,4 – 180/90*</t>
  </si>
  <si>
    <t>0,72 – 180/90*</t>
  </si>
  <si>
    <t>1,2 – 180/90*</t>
  </si>
  <si>
    <t>0,62 – 280/140*</t>
  </si>
  <si>
    <t>1,12 – 280/140*</t>
  </si>
  <si>
    <t>1,87 – 280/140*</t>
  </si>
  <si>
    <t>1,4 – 630/315*</t>
  </si>
  <si>
    <t>2,52 – 630/315*</t>
  </si>
  <si>
    <t>4,2 – 630/315*</t>
  </si>
  <si>
    <t>Дополнительные опции</t>
  </si>
  <si>
    <t>ПРЕОБРАЗОВАТЕЛИ РАСХОДА ЭЛЕКТРОМАГНИТНЫЕ - ПРЭМ</t>
  </si>
  <si>
    <t>КОМПЛЕКТЫ СОЕДИНЕНИЙ ТРУБОПРОВОДОВ МОНТАЖНЫЕ (КМ)</t>
  </si>
  <si>
    <t>Дополнительный модуль (только один):</t>
  </si>
  <si>
    <t>ДОПОЛНИТЕЛЬНЫЕ ОПЦИИ  для ВКТ-7:</t>
  </si>
  <si>
    <t>ДОПОЛНИТЕЛЬНЫЕ ОПЦИИ  для ВКТ-9:</t>
  </si>
  <si>
    <t>ТЕПЛОВЫЧИСЛИТЕЛИ ТМК-Н</t>
  </si>
  <si>
    <t>ИМИТАТОР МАСТЕРФЛОУ</t>
  </si>
  <si>
    <t>КОМПЛЕКТЫ МОНТАЖНЫХ ЧАСТЕЙ (КМЧ) ДЛЯ МФ</t>
  </si>
  <si>
    <t>ПРЕОБРАЗОВАТЕЛИ РАСХОДА ВИХРЕВЫЕ ЭЛЕКТРОМАГНИТНЫЕ «ВПС»</t>
  </si>
  <si>
    <t>КОМПЛЕКТЫ МОНТАЖНЫХ ЧАСТЕЙ ДЛЯ ВПС</t>
  </si>
  <si>
    <t>Встроенный интерфейс RS485</t>
  </si>
  <si>
    <t>Адаптер Ethernet ВКТ-7, ВКГ-3*</t>
  </si>
  <si>
    <t>Адаптер Ethernet ВКТ-7 с корпусом</t>
  </si>
  <si>
    <t>Дополнительная плата питания 3,6 В для ультразвуковых датчиков расхода</t>
  </si>
  <si>
    <t>Модуль источника питания для ВКТ-7</t>
  </si>
  <si>
    <t>* - при заказе без вычислителя цена согласно прайса ЗИП</t>
  </si>
  <si>
    <t>НАИМЕНОВАНИЕ</t>
  </si>
  <si>
    <t>Модуль расширения ВКТ-9 (RS-485)*</t>
  </si>
  <si>
    <t>Модуль питания для ВКТ-9</t>
  </si>
  <si>
    <t>Оформление паспорта теплосчетчика ТСК на базе ВКТ</t>
  </si>
  <si>
    <t>ТМК-Н20</t>
  </si>
  <si>
    <t>ТМК-Н30</t>
  </si>
  <si>
    <t>ТМК-Н120</t>
  </si>
  <si>
    <t>ТМК-Н130</t>
  </si>
  <si>
    <t>ТМК-Н100</t>
  </si>
  <si>
    <t>Оформление сводного паспорта на Теплосчетчик ТС.ТМК-Н</t>
  </si>
  <si>
    <t>Адаптер БИФ для связи ТМК-Н (1,2,3,12,13), МК-Н1, БИ-01 с ПК в комплекте с ПО (COM), 33579</t>
  </si>
  <si>
    <t>Адаптер БИФ для связи ТМК-Н (1,2,3,12,13), МК-Н1, БИ-01 с ПК в комплекте с ПО (USB), 33578</t>
  </si>
  <si>
    <t>Выносной кабель DB-9М интерфейса RS232</t>
  </si>
  <si>
    <t>Дополнительный встраиваемый интерфейс RS485.1 для ТМК-Н20,30</t>
  </si>
  <si>
    <t>Дополнительный встраиваемый интерфейс RS485.2 для ТМК-Н100,120,130, и МФ</t>
  </si>
  <si>
    <t>Дополнительный встраиваемый интерфейс RS485 для ТМК-Н13,12,3,2</t>
  </si>
  <si>
    <t>Дополнительный встраиваемый интерфейс RS232 для ТМК-Н13,12,3,2</t>
  </si>
  <si>
    <t>· токовый выход (арт.4647)</t>
  </si>
  <si>
    <t>· встроенный интерфейс RS485</t>
  </si>
  <si>
    <t>Индикация (арт.2110)****</t>
  </si>
  <si>
    <t>Адаптер RS232 для ПРЭМ (арт.557)</t>
  </si>
  <si>
    <t xml:space="preserve"> -</t>
  </si>
  <si>
    <t>Вес имп, л.**</t>
  </si>
  <si>
    <t>Коммерческий диапазон расходов***</t>
  </si>
  <si>
    <t>* Qmax2 – по заказу (соответствует скорости потока 5 м/с); ** Вес импульса при поставке по умолчанию; *** Диапазон расходов при обратном направлении потока, для всех классов, соответствует величине прямого направления класса D; **** - при заказе без расходомера цена согласно прайса ЗИП</t>
  </si>
  <si>
    <t>Цена КМ складывается из стоимостей составляющих. В состав КМ входят: МК №2 (шпильки/болты, гайки, шайбы), габаритный имитатор ПРЭМ (по заказу), две ДП* (возможна поставка разных типоразмеров в одном КМ) с паронитовыми прокладками, защитный токопровод с присоединительным комплектом, комплект крепежа для выравнивающих токопроводов.</t>
  </si>
  <si>
    <t>ДУ, мм</t>
  </si>
  <si>
    <t>№2 для ПРЭМ</t>
  </si>
  <si>
    <t>№3 для ПРЭМ</t>
  </si>
  <si>
    <t>ИМИТАТОР К ПРЭМ (монтажная вставка)</t>
  </si>
  <si>
    <t>СЭНДВИЧ</t>
  </si>
  <si>
    <t>ФЛАНЕЦ</t>
  </si>
  <si>
    <t>ДЕТАЛИ ПРИВАРНЫЕ (ДП)*</t>
  </si>
  <si>
    <t>ТИПОРАЗМЕР ДП</t>
  </si>
  <si>
    <t>20/20</t>
  </si>
  <si>
    <t>20/32</t>
  </si>
  <si>
    <t>20/40</t>
  </si>
  <si>
    <t>20/50</t>
  </si>
  <si>
    <t>32/32</t>
  </si>
  <si>
    <t>32/40</t>
  </si>
  <si>
    <t>32/50</t>
  </si>
  <si>
    <t>32/65</t>
  </si>
  <si>
    <t>32/80</t>
  </si>
  <si>
    <t>40/40</t>
  </si>
  <si>
    <t>40/50</t>
  </si>
  <si>
    <t>40/65</t>
  </si>
  <si>
    <t>40/80</t>
  </si>
  <si>
    <t>50/50</t>
  </si>
  <si>
    <t>50/65</t>
  </si>
  <si>
    <t>50/80</t>
  </si>
  <si>
    <t>50/100</t>
  </si>
  <si>
    <t>50/125</t>
  </si>
  <si>
    <t>65/65</t>
  </si>
  <si>
    <t>65/80</t>
  </si>
  <si>
    <t>65/100</t>
  </si>
  <si>
    <t>65/125</t>
  </si>
  <si>
    <t>65/150</t>
  </si>
  <si>
    <t>80/80</t>
  </si>
  <si>
    <t>80/100</t>
  </si>
  <si>
    <t>80/125</t>
  </si>
  <si>
    <t>80/150</t>
  </si>
  <si>
    <t>80/200</t>
  </si>
  <si>
    <t>100/100</t>
  </si>
  <si>
    <t>100/125</t>
  </si>
  <si>
    <t>100/150</t>
  </si>
  <si>
    <t>100/200</t>
  </si>
  <si>
    <t>150/150</t>
  </si>
  <si>
    <t>150/200</t>
  </si>
  <si>
    <t>100/250</t>
  </si>
  <si>
    <t>150/250</t>
  </si>
  <si>
    <t>150/300</t>
  </si>
  <si>
    <t>*В прайс-листе указана стоимость одной детали приварной (ДП)</t>
  </si>
  <si>
    <t>ПРЕОБРАЗОВАТЕЛИ РАСХОДА ЭЛЕКТРОМАГНИТНЫЕ «МАСТЕРФЛОУ» (МФ) МФ-2.2; 5.2 (без блока питания)</t>
  </si>
  <si>
    <t>Дополнительный выход RS-485.2</t>
  </si>
  <si>
    <t>ДУ</t>
  </si>
  <si>
    <t>КМЧ МФ - № 01(МФ-2.2, МФ-2.21, МФ-2.2.1, МФ-2.21.1)</t>
  </si>
  <si>
    <t>КМЧ МФ - № 02(МФ-2.2, МФ-2.21, МФ-2.2.1, МФ-2.21.1)</t>
  </si>
  <si>
    <t>КМЧ МФ - № 03 (МФ-5.2, МФ-5.21, МФ-5.2.1, МФ-5.21.1)</t>
  </si>
  <si>
    <t>КМЧ МФ - № 04 (МФ-5.2, МФ-5.21, МФ-5.2.1, МФ-5.21.1)</t>
  </si>
  <si>
    <t>КМЧ МФ - № 07* под резьбу(МФ-10.21.1, МФ-10.2.1)</t>
  </si>
  <si>
    <t xml:space="preserve"> - питание автономное, литиевая батарея 3,6В, нормированный импульсный выход.</t>
  </si>
  <si>
    <t>ОПИСАНИЕ</t>
  </si>
  <si>
    <t>Прямые участки 10 и 2 ДУ под приварку + две накидных гайки + две прокладки</t>
  </si>
  <si>
    <t>Прямые участки 10 и 2 ДУ под резьбовое соединение + две накидных гайки + две прокладки</t>
  </si>
  <si>
    <t>Ду25</t>
  </si>
  <si>
    <t>Ду32</t>
  </si>
  <si>
    <t>Ду40</t>
  </si>
  <si>
    <t>2 канала измерения расхода + канал учета водопотребления
2 канала измерения температуры. 2 канала измерения давления
Автономное питание. Возможно подключение сетевого питания БП 12В</t>
  </si>
  <si>
    <t>ВЫЧИСЛИТЕЛИ ВКТ, ВКГ</t>
  </si>
  <si>
    <t>Адаптер Ethernet</t>
  </si>
  <si>
    <t>Адаптер RS-485</t>
  </si>
  <si>
    <t>Дополнительное оборудование для ТВ7 исп. M</t>
  </si>
  <si>
    <t>Класс А (1:150)</t>
  </si>
  <si>
    <t>Класс B (1:250)</t>
  </si>
  <si>
    <t>Класс C (1:450)</t>
  </si>
  <si>
    <t>Диапазон м3/час</t>
  </si>
  <si>
    <t>Фланцы (-Ф), двухкомпонентное эпоксидное покрытие с высокой стойкостью к воде и химикатам</t>
  </si>
  <si>
    <t>ТВ7-01М</t>
  </si>
  <si>
    <t>Подключаемые датчики: расхода - 5, температуры - 4, давления - 0</t>
  </si>
  <si>
    <t>ТВ7-04.1М</t>
  </si>
  <si>
    <t>ТВ7-03М</t>
  </si>
  <si>
    <t>ТВ7-04М</t>
  </si>
  <si>
    <t>ТВ7-05М</t>
  </si>
  <si>
    <t>Подключаемые датчики: расхода - 5, температуры - 4, давления - 3</t>
  </si>
  <si>
    <t>Подключаемые датчики: расхода - 7, температуры - 8, давления - 0</t>
  </si>
  <si>
    <t>Подключаемые датчики: расхода - 7, температуры - 8, давления - 6</t>
  </si>
  <si>
    <t>Подключаемые датчики: расхода - 8, температуры - 8, давления - 6</t>
  </si>
  <si>
    <t>Требует питания вычислителя от сетевого источника питания</t>
  </si>
  <si>
    <t>Диапазон, м3/час</t>
  </si>
  <si>
    <t>ТЕПЛОВЫЧИСЛИТЕЛИ</t>
  </si>
  <si>
    <t>Тепловычислители ТВ7 сертифицированы в составе теплосчетчиков T34M.
Стоимость оформления паспорта Т34M – 5850 руб, при покупке комплекта оборудования у ООО «ТЕРМОТРОНИК» - 1050 руб.</t>
  </si>
  <si>
    <t>Корректор СПГ742</t>
  </si>
  <si>
    <t>Корректор СПГ761 (мод.761.1, 761.2)</t>
  </si>
  <si>
    <t>Корректор СПГ762 (мод.762.1, 762.2)</t>
  </si>
  <si>
    <t>Корректор СПГ763 (мод.763.1, 763.2)</t>
  </si>
  <si>
    <t>Адаптер АПС 79</t>
  </si>
  <si>
    <t>Адаптер АПС77</t>
  </si>
  <si>
    <t>Адаптер АПС71</t>
  </si>
  <si>
    <t>Адаптер АПС70</t>
  </si>
  <si>
    <t>Адаптер АПС45</t>
  </si>
  <si>
    <t>Адаптер АПС43</t>
  </si>
  <si>
    <t>Адаптер расширитель АДС 97</t>
  </si>
  <si>
    <t>Накопитель АДС 91</t>
  </si>
  <si>
    <t>Адаптер АПС 78</t>
  </si>
  <si>
    <t>Адаптер АДР260</t>
  </si>
  <si>
    <t>Адаптер АДП 82</t>
  </si>
  <si>
    <t>Используется для установления оптического соединения между компьютером и прибором фирмы ЛОГИКА в соответствии со стандартом МЭК1107.</t>
  </si>
  <si>
    <t>Служит для подключения принтера к прибору или группе приборов всех моделей СПГ741, СПГ742, СПТ941, СПТ942, СПТ943, СПТ944.</t>
  </si>
  <si>
    <t>Применяется для подключения принтера, имеющего интерфейс CENTRONICS, к интерфейсу RS-485 приборов СПТ961, СПГ761-763, СПЕ542.</t>
  </si>
  <si>
    <t>Для считывания архивных данных с приборов учета энергоносителей и переноса этих данных на компьютер для дальнейшей подготовки отчетов об энергопотреблении.</t>
  </si>
  <si>
    <t>Подключение накопителей АДС90, АДС91 к оптопорту прибора.</t>
  </si>
  <si>
    <t>Для управления исполнительными механизмами совместно с СПТ963 в системах регулирования режимов теплоснабжения и ГВС.</t>
  </si>
  <si>
    <t>ТЕПЛОВЫЧИСЛИТЕЛИ СПТ</t>
  </si>
  <si>
    <t xml:space="preserve">Учет технических газов. Подключаемые датчики:
 -8 преобразователей с выходными сигналами тока 0-5, 0-20 или 4-20 мА;
 -4 преобразователя с выходным импульсным или частотным сигналом 0-5 кГц;
 -4 термопреобразователя сопротивления с характеристиками 50П, Pt50, 100П, Pt100, 50М, 100М. Электропитание 220 В ± 30%, 50 Гц, потребляемая мощность 7 В·А. 
</t>
  </si>
  <si>
    <t>Для подключения компьютер по интерфейсу RS485 к сети СПТ961, СПТ961М, СПГ761-763, СПЕ542.</t>
  </si>
  <si>
    <t>Для организации передачи в сети Интернет данных, получаемых от приборов энергоучета в системах сбора данных, диспетчеризации и мониторинга объектов потребления и производства энергоресурсов.</t>
  </si>
  <si>
    <t xml:space="preserve"> Учет природного газа
-2 преобразователя объема с импульсным выходным сигналом 
-2 преобразователя  сопротивления с характеристикой Pt100, 100П, 100М;
-8 преобразователей давления и разности давлений с выходным сигналом 4-20 мА.
Встроенная батарея 3,6 В (замена без демонтажа прибора) и/или внешнее 12 В постоянного тока.
</t>
  </si>
  <si>
    <t>Учет природного газа.
 -8 преобразователей с выходными сигналами тока 0-5, 0-20 или 4-20 мА;
 -4 преобразователя с выходным импульсным или частотным сигналом 0-5 кГц;
 -4 термопреобразователя сопротивления с характеристикой 50П, Pt50, 100П, Pt100, 50М, 100М.
Электропитание 220 В ± 30%, 50 Гц, потребляемая мощность: 7 В·А.</t>
  </si>
  <si>
    <t xml:space="preserve"> Учет газообразных, жидкостных и газожидкостных углеводородных смесей.
 -8 преобразователей с выходным сигналом тока 0-5, 0-20 или 4-20 мА;
 -4 преобразователя с выходным импульсным или частотным сигналом 0-5 кГц;
 -4 термопреобразователя сопротивления с характеристикой 50П, Pt50, 100П, Pt100, 50М, 100М.
Электропитание 220 В ± 30%, 50 Гц, потребляемая мощность 7 В·А.</t>
  </si>
  <si>
    <t>Автономное питание (либо сетевое по заказу). Учет газа по 2-м газопроводам.</t>
  </si>
  <si>
    <t>ВЫЧИСЛИТЕЛИ КОЛИЧЕСТВА ГАЗА (КОРРЕКТОРЫ)</t>
  </si>
  <si>
    <t>Дополнительное оборудование</t>
  </si>
  <si>
    <t>Встраиваемые интерфейсные модули для вычислителей ЭЛЬФ, КАРАТ</t>
  </si>
  <si>
    <t>Дополнительное оборудование для расходомеров "Мастерфлоу" производства "КОНВЕНТ"</t>
  </si>
  <si>
    <t>ТЕПЛОВЫЧИСЛИТЕЛИ ВЗЛЕТ ТСРВ</t>
  </si>
  <si>
    <t>КАРАТ- 306-3V3T3P</t>
  </si>
  <si>
    <t>Количество подключаемых датчиков: расхода - 3, температуры - 3, давления - 3</t>
  </si>
  <si>
    <t>КАРАТ -306-5V4T4P</t>
  </si>
  <si>
    <t>Количество подключаемых датчиков: расхода - 5, температуры - 4, давления - 4</t>
  </si>
  <si>
    <t>КАРАТ -306-5V2T0P</t>
  </si>
  <si>
    <t>Количество подключаемых датчиков: расхода - 5, температуры - 2, давления -0</t>
  </si>
  <si>
    <t>КАРАТ- 307-4V4T0P</t>
  </si>
  <si>
    <t>Количество подключаемых датчиков: расхода - 4, температуры - 4, давления - 0</t>
  </si>
  <si>
    <t>КАРАТ -307-4V4T4P</t>
  </si>
  <si>
    <t>Количество подключаемых датчиков: расхода - 4, температуры - 4, давления - 4</t>
  </si>
  <si>
    <t>КАРАТ -307-6V6T6P</t>
  </si>
  <si>
    <t>Количество подключаемых датчиков: расхода - 6, температуры - 6, давления - 6</t>
  </si>
  <si>
    <t>КАРАТ- 308-6V6T6P</t>
  </si>
  <si>
    <t>Модуль RS-232</t>
  </si>
  <si>
    <t>Модуль RS-232-Взлет</t>
  </si>
  <si>
    <t>Модуль RS-485</t>
  </si>
  <si>
    <t>Модуль шины M-Bus</t>
  </si>
  <si>
    <t>ТСРВ-043 (обслуживает три теплосистемы)</t>
  </si>
  <si>
    <t>ТСРВ-042 (обслуживает две теплосистемы)</t>
  </si>
  <si>
    <t>ВЫЧИСЛИТЕЛИ ЭЛЬФ КАРАТ-306, КАРАТ-307, КАРАТ-308</t>
  </si>
  <si>
    <t>КАРАТ-306, автономное питание (с возможностью подключения сетевого питания)</t>
  </si>
  <si>
    <t>КАРАТ-307, автономное питание (с возможностью подключения сетевого питания)</t>
  </si>
  <si>
    <t>КАРАТ-308, сетевое питание</t>
  </si>
  <si>
    <t>ФЛАНЦЕВОЕ ИСПОЛНЕНИЕ</t>
  </si>
  <si>
    <t>-</t>
  </si>
  <si>
    <t>Фланцы (-Ф1), нержавеющий сплав</t>
  </si>
  <si>
    <t>4 канала измерения расхода + канал учета водопотребления
4 канала измерения температуры. 4 канала измерения давления
Автономное питание. Возможно подключение сетевого питания БП 12В</t>
  </si>
  <si>
    <t>2 канала измерения расхода + канал учета водопотребления
2 канала измерения температуры. 2 канала измерения давления
Внешнее питание от блока питания 12В</t>
  </si>
  <si>
    <t>4 канала измерения расхода + канал учета водопотребления
4 канала измерения температуры. 4 канала измерения давления
Внешнее питание от блока питания 12В</t>
  </si>
  <si>
    <t>6 каналов измерения расхода, 8 каналов измерения температуры
6 каналов измерения давления
Внешнее питание от блока питания 8…30В</t>
  </si>
  <si>
    <t>0,03-7,5</t>
  </si>
  <si>
    <t>0,072-18</t>
  </si>
  <si>
    <t>0,12-30</t>
  </si>
  <si>
    <t>0,18-45</t>
  </si>
  <si>
    <t>0,3-75</t>
  </si>
  <si>
    <t>0,48-120</t>
  </si>
  <si>
    <t>0,72-180</t>
  </si>
  <si>
    <t>1,2-300</t>
  </si>
  <si>
    <t>2,28-570</t>
  </si>
  <si>
    <t>4-1000</t>
  </si>
  <si>
    <t>10,0-2500</t>
  </si>
  <si>
    <t xml:space="preserve">Для питания постоянным током датчиков, преобр. и иного оборудования в составе теплосчетчиков и измерительных комплексов серии ЛОГИКА и других измерит. систем </t>
  </si>
  <si>
    <t xml:space="preserve">Для питания постоянным током датчиков, преобр. и иного оборудования в составе теплосчетчиков и измерительных комплексов серии ЛОГИКА и других измерит систем. </t>
  </si>
  <si>
    <t>Для непосредственного подключения к COM-порту компьютера одиночных приборов по интерфейсу RS-232. Адаптер обеспечивает гальваническое разделение прибора и ПК.</t>
  </si>
  <si>
    <t>Для организации передачи в сети Интернет данных, получаемых от приборов энергоучета в системах сбора данных, диспетчеризации и мониторинга объектов</t>
  </si>
  <si>
    <t>Рассчитаны для работы совместно с приборами АО НПФ ЛОГИКА, обмен данными по интерфейсу RS485,  для увеличения количества подключаемых датчиков.</t>
  </si>
  <si>
    <t>Щуп БИФ-УС. Для подключения устройства УС-Н к ТМК-Н12(13), МК-Н1, БИ-01 и ТМК-Н1(2,3), снятым с производства</t>
  </si>
  <si>
    <t>ВЭПС-Р-ПБ-2-01 импульсный выход, автономное питание</t>
  </si>
  <si>
    <t>ДУ, мм.</t>
  </si>
  <si>
    <t>0,3 - 15</t>
  </si>
  <si>
    <t>0,4 - 20</t>
  </si>
  <si>
    <t>0,5 - 25</t>
  </si>
  <si>
    <t>0,8 - 40</t>
  </si>
  <si>
    <t>1,0 - 50</t>
  </si>
  <si>
    <t>2,5 - 125</t>
  </si>
  <si>
    <t>5,0 - 250</t>
  </si>
  <si>
    <t>12,5 - 400</t>
  </si>
  <si>
    <t>25 - 630</t>
  </si>
  <si>
    <t>32 - 1000</t>
  </si>
  <si>
    <t>50 - 1600</t>
  </si>
  <si>
    <t>Метрологический класс</t>
  </si>
  <si>
    <t>Нормируемый диапазон расходов</t>
  </si>
  <si>
    <t>В (1:250)</t>
  </si>
  <si>
    <t>0.024 - 6</t>
  </si>
  <si>
    <t>0.05 - 6</t>
  </si>
  <si>
    <t>0.064 - 16</t>
  </si>
  <si>
    <t>0.100 - 25</t>
  </si>
  <si>
    <t>0.160 - 40</t>
  </si>
  <si>
    <t>0.240 - 60</t>
  </si>
  <si>
    <t>0.400 - 100</t>
  </si>
  <si>
    <t>0.640- 160</t>
  </si>
  <si>
    <t>1.0 - 250</t>
  </si>
  <si>
    <t>2.4 - 600</t>
  </si>
  <si>
    <t>Присоединение «сэндвич», без индикатора</t>
  </si>
  <si>
    <t>440Л В</t>
  </si>
  <si>
    <t>470Л В</t>
  </si>
  <si>
    <t>Присоединение фланцевое, без индикатора</t>
  </si>
  <si>
    <t>440Ф В</t>
  </si>
  <si>
    <t>470Ф В</t>
  </si>
  <si>
    <t>Присоединительная арматура из стали Ст 20 для электромагнитных расходомеров ВЗЛЕТ ЭР, ВЗЛЕТ ЭМ (Рmax до 2,5 МПа)</t>
  </si>
  <si>
    <t xml:space="preserve">КОМПЛЕКТ </t>
  </si>
  <si>
    <t>Ду</t>
  </si>
  <si>
    <t>Тип присоединения «сэндвич»</t>
  </si>
  <si>
    <t>№ 1</t>
  </si>
  <si>
    <t>Тип присоединения фланцевое</t>
  </si>
  <si>
    <t>Состав комплекта №1: фланцы, шпильки, крепеж, габаритный имитатор расходомера, прокладки</t>
  </si>
  <si>
    <t>КТПТР-01</t>
  </si>
  <si>
    <t>КТПТР-05</t>
  </si>
  <si>
    <t>КТПТР-05/1</t>
  </si>
  <si>
    <t>КТПТР-06</t>
  </si>
  <si>
    <t>НСХ-100П (Pt100), 1 класс, Ø монтажной части 8мм.</t>
  </si>
  <si>
    <t>НСХ-100П (Pt100), 1 класс, Ø монтажной части 6мм.</t>
  </si>
  <si>
    <t>НСХ-Pt100(100П), 1 класс, Ø монтажной части 6мм, в комплекте с защитными
гильзами</t>
  </si>
  <si>
    <t>НСХ-100П (Pt100), 1 класс, Ø монтажной части 4мм.</t>
  </si>
  <si>
    <t>L=60, 80, 100, 120 мм.</t>
  </si>
  <si>
    <t>L=160, 200, 250 мм.</t>
  </si>
  <si>
    <t>L=320…630 мм.</t>
  </si>
  <si>
    <t>L=70 мм.</t>
  </si>
  <si>
    <t>L=98 мм.</t>
  </si>
  <si>
    <t>L=133…223 мм.</t>
  </si>
  <si>
    <t>L=100 мм.</t>
  </si>
  <si>
    <t>L=140…180 мм.</t>
  </si>
  <si>
    <t>L=35, 45 мм.</t>
  </si>
  <si>
    <t>L=60, 80 мм.</t>
  </si>
  <si>
    <t>L=110…140 мм.</t>
  </si>
  <si>
    <t>ТПТ-1-3</t>
  </si>
  <si>
    <t>НСХ-100П (Pt100), класс А, Ø монтажной части 8мм.</t>
  </si>
  <si>
    <t>L=60 мм.</t>
  </si>
  <si>
    <t>L=80 мм.</t>
  </si>
  <si>
    <t>L=120 мм.</t>
  </si>
  <si>
    <t>L=160…400 мм.</t>
  </si>
  <si>
    <t>ТПТ-15-2</t>
  </si>
  <si>
    <t>НСХ-100П (Pt100), класс А, Ø монтажной части 6мм.</t>
  </si>
  <si>
    <t>ТПТ-15-3</t>
  </si>
  <si>
    <t>ТПТ-19-1</t>
  </si>
  <si>
    <t>НСХ-100П (Pt100), класс А, Ø монтажной части 4мм.</t>
  </si>
  <si>
    <t>L=80…140 мм.</t>
  </si>
  <si>
    <t>КТСП-Н</t>
  </si>
  <si>
    <t>НСХ-Pt100, Ø монтажной части 4мм, с кабелем</t>
  </si>
  <si>
    <t>НСХ-Pt100, Ø монтажной части 6мм, с кабелем</t>
  </si>
  <si>
    <t>НСХ-Pt100, Ø монтажной части 6мм</t>
  </si>
  <si>
    <t>НСХ-Pt100, Ø монтажной части 8мм</t>
  </si>
  <si>
    <t>L=27,5 мм.</t>
  </si>
  <si>
    <t>L=45 мм.</t>
  </si>
  <si>
    <t>L=80, 100 мм.</t>
  </si>
  <si>
    <t>L=120…600 мм.</t>
  </si>
  <si>
    <t>от 2 565,2</t>
  </si>
  <si>
    <t>КТСП-Н крепление винтом (синяя голова)</t>
  </si>
  <si>
    <t>НСХ-Pt100, Ø монтажной части 4мм, в комплекте с защитными гильзами и бобышками</t>
  </si>
  <si>
    <t>L=60, 80, 100 мм.</t>
  </si>
  <si>
    <t>L=120…320 мм.</t>
  </si>
  <si>
    <t>от 2681,8</t>
  </si>
  <si>
    <t>от 1 293,2</t>
  </si>
  <si>
    <t>ТСП-Н крепление винтом (синяя голова)</t>
  </si>
  <si>
    <t>ТСП-Н</t>
  </si>
  <si>
    <t>НСХ-Pt100, Ø монтажной части 4мм, в комплекте с защитной гильзой и бобышкой</t>
  </si>
  <si>
    <t>L=120…400 мм.</t>
  </si>
  <si>
    <t>от 1420,4</t>
  </si>
  <si>
    <t>КТС-Б</t>
  </si>
  <si>
    <t>КТС-Б со штуцером</t>
  </si>
  <si>
    <t>ТС-Б</t>
  </si>
  <si>
    <t>ТС-Б со штуцером</t>
  </si>
  <si>
    <t>НСХ-Pt100, Ø монтажной части 6мм, в комплекте с защитными гильзами и бобышками</t>
  </si>
  <si>
    <t>НСХ-Pt100, Ø монтажной части 6мм, в комплекте с защитной гильзой и бобышкой</t>
  </si>
  <si>
    <t>L=60, 80, 100, 120, 160, 180 мм.</t>
  </si>
  <si>
    <t>L=60, 80, 100, 120, 160 мм.</t>
  </si>
  <si>
    <t>КТПТР КОМПЛЕКТЫ ТЕРМОМЕТРОВ</t>
  </si>
  <si>
    <t>ТПТ- ОДИНОЧНЫЕ ТЕРМОМЕТРЫ</t>
  </si>
  <si>
    <t>НСХ-Pt100(100П), класс А, Ø монтажной части 6мм, в комплекте с защитной гильзой</t>
  </si>
  <si>
    <t>КТСП-Н КОМПЛЕКТЫ ТЕРМОМЕТРОВ</t>
  </si>
  <si>
    <t>ТСП-Н - ОДИНОЧНЫЕ ТЕРМОМЕТРЫ</t>
  </si>
  <si>
    <t>КТСП-Н/ТСП-Н ТЕРМОМЕТРЫ СОПРОТИВЛЕНИЯ (ИНТЭП)</t>
  </si>
  <si>
    <t>КТПТР/ТПТ ТЕРМОМЕТРЫ СОПРОТИВЛЕНИЯ  (ТЕРМИКО)</t>
  </si>
  <si>
    <t>ТС-Б - ОДИНОЧНЫЕ ТЕРМОМЕТРЫ</t>
  </si>
  <si>
    <t>КТС-Б/ТС-Б ТЕРМОМЕТРЫ СОПРОТИВЛЕНИЯ (ТЕРМОПОЙНТ)</t>
  </si>
  <si>
    <t>СЭНДВИЧ (-С),  НЕРЖАВЕЮЩИЙ СПЛАВ</t>
  </si>
  <si>
    <t>КТС-Б КОМПЛЕКТЫ ТЕРМОМЕТРОВ</t>
  </si>
  <si>
    <t>0,4; 0,6; 1,0; 1,6; 2,5; 4,0; 6;0 МПа</t>
  </si>
  <si>
    <t>0,025;  0,04;  0,06 МПа</t>
  </si>
  <si>
    <t>0,1; 0,16;  0,25;  0,4;  0,6;  1,0 МПа</t>
  </si>
  <si>
    <t>10;  16 МПа</t>
  </si>
  <si>
    <t>Погрешность +/-0,5%, 
Выходной сигнал 4...20мА, Температура измеряемой среды -50…125С</t>
  </si>
  <si>
    <t>0,006;  0,01;  0,016 МПа</t>
  </si>
  <si>
    <t>0,1; 0,16;  0,25;  0,4;  0,6 МПа</t>
  </si>
  <si>
    <t>1,0;  1,6;  2,5;  4,0;  6,0 МПа</t>
  </si>
  <si>
    <t>10;  16;  25;  40;  60; 100 МПа</t>
  </si>
  <si>
    <t>160; 250 Мпа</t>
  </si>
  <si>
    <t xml:space="preserve">СДВ-A ДАТЧИКИ АБСОЛЮТНОГО ДАВЛЕНИЯ </t>
  </si>
  <si>
    <t xml:space="preserve">СДВ-И ДАТЧИКИ ИЗБЫТОЧНОГО ДАВЛЕНИЯ </t>
  </si>
  <si>
    <t xml:space="preserve">СДВ-И
</t>
  </si>
  <si>
    <t>ПДТВХ-1-02</t>
  </si>
  <si>
    <t>ИД-И-АЦ-К1-1,6-2-1-Д</t>
  </si>
  <si>
    <t>СДВ-И Коммуналец</t>
  </si>
  <si>
    <t>ПРЕОБРАЗОВАТЕЛИ ДАВЛЕНИЯ ДЛЯ УЗЛОВ УЧЕТА ТЕПЛА</t>
  </si>
  <si>
    <t>MBS1700</t>
  </si>
  <si>
    <t>СДВ ПРЕОБРАЗОВАТЕЛИ ДАВЛЕНИЯ ОБЩЕПРОМЫШЛЕННОЕ ИСПОЛНЕНИЕ (НПК ВИП)</t>
  </si>
  <si>
    <t>Давление-избыточное, предел 0,6/1,0/1,6 /2,5 МПа, выход 4-20 мА, погреш. 0,5%</t>
  </si>
  <si>
    <t>Давление-избыточное, предел 1,6 МПа, выход 4-20 мА, погрешность 0,5%</t>
  </si>
  <si>
    <t>Давление-избыточное, предел 1,6 МПа, выход 4-20 мА, погрешность 1,0%</t>
  </si>
  <si>
    <t>Для подкл. ЭЛЬФ, КАРАТ-306 к внешнему устройству (компьютеру) по интерфейсу RS-232</t>
  </si>
  <si>
    <t>Для подкл. до 240 выч-лей ЭЛЬФ, КАРАТ-306 в системе сбора данных по инт. RS-485</t>
  </si>
  <si>
    <t>Для подкл. до 240 выч-лей ЭЛЬФ, КАРАТ-306 в системе сбора данных по M-bus.</t>
  </si>
  <si>
    <t>Ду 15</t>
  </si>
  <si>
    <t>Ду 20</t>
  </si>
  <si>
    <t>Ду 25</t>
  </si>
  <si>
    <t>Ду 32</t>
  </si>
  <si>
    <t>Ду 40</t>
  </si>
  <si>
    <t>Ду 50</t>
  </si>
  <si>
    <t>Ду 65</t>
  </si>
  <si>
    <t>Ду 80</t>
  </si>
  <si>
    <t>Ду 100</t>
  </si>
  <si>
    <t>Ду 125</t>
  </si>
  <si>
    <t>Ду 150</t>
  </si>
  <si>
    <t>Ду 200</t>
  </si>
  <si>
    <t>Ду 250</t>
  </si>
  <si>
    <t>Импульсный датчик для ET-N / MT-N / СВД Миномесс М (1-1000L/Imp.)</t>
  </si>
  <si>
    <t>40°C</t>
  </si>
  <si>
    <t>90°C</t>
  </si>
  <si>
    <t>150°C</t>
  </si>
  <si>
    <t>80 мм.</t>
  </si>
  <si>
    <t>110 мм.</t>
  </si>
  <si>
    <t>130 мм.</t>
  </si>
  <si>
    <t>190 мм.</t>
  </si>
  <si>
    <t>260 мм.</t>
  </si>
  <si>
    <t>300 мм.</t>
  </si>
  <si>
    <t>200 мм.</t>
  </si>
  <si>
    <t>225 мм.</t>
  </si>
  <si>
    <t>250 мм.</t>
  </si>
  <si>
    <t>350 мм.</t>
  </si>
  <si>
    <t>450 мм.</t>
  </si>
  <si>
    <t>700 мм.</t>
  </si>
  <si>
    <t>500 мм.</t>
  </si>
  <si>
    <t>0,36 кг.</t>
  </si>
  <si>
    <t>0,48 кг.</t>
  </si>
  <si>
    <t>2 кг.</t>
  </si>
  <si>
    <t>3 кг.</t>
  </si>
  <si>
    <t>5 кг.</t>
  </si>
  <si>
    <t>13 кг.</t>
  </si>
  <si>
    <t>14 кг.</t>
  </si>
  <si>
    <t>15 кг.</t>
  </si>
  <si>
    <t>18 кг.</t>
  </si>
  <si>
    <t>38 кг.</t>
  </si>
  <si>
    <t>49 кг.</t>
  </si>
  <si>
    <t>90 кг.</t>
  </si>
  <si>
    <t>136 кг.</t>
  </si>
  <si>
    <t>12,6 кг.</t>
  </si>
  <si>
    <t>13,2 кг.</t>
  </si>
  <si>
    <t>14,2 кг.</t>
  </si>
  <si>
    <t>17,7 кг.</t>
  </si>
  <si>
    <t>33 кг.</t>
  </si>
  <si>
    <t>муфтовое</t>
  </si>
  <si>
    <t>фланцевое</t>
  </si>
  <si>
    <t>1,5 м3/ч</t>
  </si>
  <si>
    <t>2,5 м3/ч</t>
  </si>
  <si>
    <t>3,5 м3/ч</t>
  </si>
  <si>
    <t>6 м3/ч</t>
  </si>
  <si>
    <t>10 м3/ч</t>
  </si>
  <si>
    <t>15 м3/ч</t>
  </si>
  <si>
    <t>25 м3/ч</t>
  </si>
  <si>
    <t>40 м3/ч</t>
  </si>
  <si>
    <t>60 м3/ч</t>
  </si>
  <si>
    <t>100 м3/ч</t>
  </si>
  <si>
    <t>150 м3/ч</t>
  </si>
  <si>
    <t>250 м3/ч</t>
  </si>
  <si>
    <t>400 м3/ч</t>
  </si>
  <si>
    <t>600 м3/ч</t>
  </si>
  <si>
    <t>Ду 300</t>
  </si>
  <si>
    <t>ETK-N-AM DN 15</t>
  </si>
  <si>
    <t>ETW-N-AM DN 15</t>
  </si>
  <si>
    <t>ETK-N-AM DN 20</t>
  </si>
  <si>
    <t>ETW-N-AM DN 20</t>
  </si>
  <si>
    <t>ETK-I-N-AM DN 15</t>
  </si>
  <si>
    <t>ETW-I-N-AM DN 15</t>
  </si>
  <si>
    <t>ETK-I-N-AM DN 20</t>
  </si>
  <si>
    <t>ETW-I-N-AM DN 20</t>
  </si>
  <si>
    <t>MTK-N DN 20</t>
  </si>
  <si>
    <t>MTK-N DN 25</t>
  </si>
  <si>
    <t>MTK-N DN 32</t>
  </si>
  <si>
    <t>MTK-N DN 40</t>
  </si>
  <si>
    <t>MTK-N DN 50</t>
  </si>
  <si>
    <t>MTW-N DN 20</t>
  </si>
  <si>
    <t>MTW-N DN 25</t>
  </si>
  <si>
    <t>MTW-N DN 32</t>
  </si>
  <si>
    <t>MTW-N DN 40</t>
  </si>
  <si>
    <t>MTW-N DN 50</t>
  </si>
  <si>
    <t>MTK-I DN 20</t>
  </si>
  <si>
    <t>MTK-I DN 25</t>
  </si>
  <si>
    <t>MTK-I DN 32</t>
  </si>
  <si>
    <t>MTK-I DN 40</t>
  </si>
  <si>
    <t>MTK-I DN 50</t>
  </si>
  <si>
    <t>MTW-I DN 20</t>
  </si>
  <si>
    <t>MTW-I DN 25</t>
  </si>
  <si>
    <t>MTW-I DN 32</t>
  </si>
  <si>
    <t>MTW-I DN 40</t>
  </si>
  <si>
    <t>MTW-I DN 50</t>
  </si>
  <si>
    <t>WPH-N-K DN 50</t>
  </si>
  <si>
    <t>WPH-N-K DN 65</t>
  </si>
  <si>
    <t>WPH-N-K DN 80</t>
  </si>
  <si>
    <t>WPH-N-K DN 100</t>
  </si>
  <si>
    <t>WPH-N-K DN 125</t>
  </si>
  <si>
    <t>WPH-N-K DN 150</t>
  </si>
  <si>
    <t>WPH-N-K DN 200</t>
  </si>
  <si>
    <t>WPH-N-K DN 300</t>
  </si>
  <si>
    <t>WPH-N-W DN 50</t>
  </si>
  <si>
    <t>WPH-N-W DN 65</t>
  </si>
  <si>
    <t>WPH-N-W DN 80</t>
  </si>
  <si>
    <t>WPH-N-W DN 100</t>
  </si>
  <si>
    <t>WPH-N-W DN 125</t>
  </si>
  <si>
    <t>WPH-N-W DN 150</t>
  </si>
  <si>
    <t>WPH-N-H DN 40</t>
  </si>
  <si>
    <t>WPH-N-H DN 50</t>
  </si>
  <si>
    <t>WPH-N-H DN 65</t>
  </si>
  <si>
    <t>WPH-N-H DN 80</t>
  </si>
  <si>
    <t>WPH-N-H DN 100</t>
  </si>
  <si>
    <t>WPH-N-H DN 125</t>
  </si>
  <si>
    <t>WPH-N-H DN 150</t>
  </si>
  <si>
    <t>WPH-I-K DN 65</t>
  </si>
  <si>
    <t>WPH-I-K DN 80</t>
  </si>
  <si>
    <t>WPH-I-K DN 100</t>
  </si>
  <si>
    <t>WPH-I-K DN 125</t>
  </si>
  <si>
    <t>WPH-I-K DN 150</t>
  </si>
  <si>
    <t>WPH-I-K DN 200</t>
  </si>
  <si>
    <t>WPH-I-K DN 250</t>
  </si>
  <si>
    <t>WPH-I-K DN 300</t>
  </si>
  <si>
    <t>WPH-I-W DN 50</t>
  </si>
  <si>
    <t>WPH-I-W DN 65</t>
  </si>
  <si>
    <t>WPH-I-W DN 80</t>
  </si>
  <si>
    <t>WPH-I-W DN 100</t>
  </si>
  <si>
    <t>WPH-I-W DN 125</t>
  </si>
  <si>
    <t>WPH-I-W DN 150</t>
  </si>
  <si>
    <t>WPH-I-W DN 200</t>
  </si>
  <si>
    <t xml:space="preserve">Имп. датчик для WPH-N / СВТ </t>
  </si>
  <si>
    <t>Имп. датчик для WPH-N 150°C</t>
  </si>
  <si>
    <t>WPH-I-K DN 50</t>
  </si>
  <si>
    <t>MTK-N / MTW-N (ZENNER) ДОМОВЫЕ СЧЕТЧИКИ ВОДЫ, без имп. датчика, без присоед.</t>
  </si>
  <si>
    <t>WPH (ZENNER) ТУРБИННЫЕ СЧЕТЧИКИ ВОЛЬТМАНА , без имп. датчика</t>
  </si>
  <si>
    <t>MTK-I / MTW-I (ZENNER) ДОМОВЫЕ СЧЕТЧИКИ ВОДЫ,  без имп. датчика, без присоед.</t>
  </si>
  <si>
    <r>
      <t>WPH (ZENNER) ТУРБИННЫЕ СЧЕТЧИКИ ВОЛЬТМАНА ,</t>
    </r>
    <r>
      <rPr>
        <b/>
        <sz val="10"/>
        <color rgb="FFFF0000"/>
        <rFont val="Calibri"/>
        <family val="2"/>
        <charset val="204"/>
        <scheme val="minor"/>
      </rPr>
      <t xml:space="preserve"> c импульсным датчиком</t>
    </r>
  </si>
  <si>
    <t>ETK / ETW (ZENNER) КВАРТИРНЫЕ ВОДОСЧЕТСЧИКИ, 5 роликов, без имп. датчика, без присоед.</t>
  </si>
  <si>
    <r>
      <t xml:space="preserve">ETK-I / ETW-I (ZENNER) КВАРТИРНЫЕ ВОДОСЧЕТСЧИКИ, 5 роликов, </t>
    </r>
    <r>
      <rPr>
        <b/>
        <sz val="10"/>
        <color rgb="FFFF0000"/>
        <rFont val="Calibri"/>
        <family val="2"/>
        <charset val="204"/>
        <scheme val="minor"/>
      </rPr>
      <t>с импульсным датчиком</t>
    </r>
    <r>
      <rPr>
        <b/>
        <sz val="10"/>
        <color theme="1"/>
        <rFont val="Calibri"/>
        <family val="2"/>
        <charset val="204"/>
        <scheme val="minor"/>
      </rPr>
      <t>, без присоед.</t>
    </r>
  </si>
  <si>
    <t>ДИАМЕТР</t>
  </si>
  <si>
    <t>МАХ Т.</t>
  </si>
  <si>
    <t>НОМИНАЛЬНЫЙ РАСХОД</t>
  </si>
  <si>
    <t>СОЕДИНЕНИЕ</t>
  </si>
  <si>
    <t>ДЛИНА</t>
  </si>
  <si>
    <t>МАССА</t>
  </si>
  <si>
    <t>ДРГ.М-160/80 (газ) без КМЧ (стандартный)</t>
  </si>
  <si>
    <t>ДРГ.М-160 без КМЧ (стандартный / конденсатоустойчивый / высокотемпературный)</t>
  </si>
  <si>
    <t>ДРГ.М-400 без КМЧ (стандартный / конденсатоустойчивый / высокотемпературный)</t>
  </si>
  <si>
    <t>ДРГ.М-800 без КМЧ (стандартный / конденсатоустойчивый / высокотемпературный)</t>
  </si>
  <si>
    <t>ДРГ.М-1600 без КМЧ (стандартный / конденсатоустойчивый / высокотемпературный)</t>
  </si>
  <si>
    <t>ДРГ.М-2500 без КМЧ (стандартный / конденсатоустойчивый / высокотемпературный)</t>
  </si>
  <si>
    <t>ДРГ.М-5000 без КМЧ (стандартный / конденсатоустойчивый / высокотемпературный)</t>
  </si>
  <si>
    <t>ДРГ.М-10000 без КМЧ (стандартный / конденсатоустойчивый / высокотемпературный)</t>
  </si>
  <si>
    <t>ДРГ.МЗ-100…-300 без КМЧ</t>
  </si>
  <si>
    <t>ДРГ.МЗ-400…-1000 без КМЧ</t>
  </si>
  <si>
    <t>КМЧ для ДРГ.МЗ (до 4,0 МПа)</t>
  </si>
  <si>
    <t>ДРГ.МЗЛ-100…-1000 без КМЧ</t>
  </si>
  <si>
    <t>КМЧ для ДРГ.МЗЛ (до 4,0 МПа)</t>
  </si>
  <si>
    <t>Монтажная вставка для ДРГ.М-160, 400, 800</t>
  </si>
  <si>
    <t>Монтажная вставка для ДРГ.М-1600</t>
  </si>
  <si>
    <t>Монтажная вставка для ДРГ.М-2500</t>
  </si>
  <si>
    <t>Монтажная вставка для ДРГ.М-5000</t>
  </si>
  <si>
    <t>Монтажная вставка для ДРГ.М-10000</t>
  </si>
  <si>
    <t>Индикация датчиков</t>
  </si>
  <si>
    <t>Протокол обмена данными HART или ModBUS</t>
  </si>
  <si>
    <t>Блок вычисления микропроцессорный БВР.М</t>
  </si>
  <si>
    <t>Контроллер универсальный МИКОНТ-186</t>
  </si>
  <si>
    <t>КМЧ для ДРГ.М-400, 800 (до 2,5МПа/до 4,0МПа/до 6,3МПа/до 10,0МПа/до 16,0МПа/до 25,0МПа)</t>
  </si>
  <si>
    <t>КМЧ для ДРГ.М-1600 (до 2,5МПа/до 4,0МПа/до 6,3МПа/до 10,0МПа/до 16,0МПа/до 25,0МПа)</t>
  </si>
  <si>
    <t>КМЧ для ДРГ.М-2500 (до 2,5МПа/до 4,0МПа/до 6,3МПа/до 10,0МПа/до 16,0МПа/до 25,0МПа)</t>
  </si>
  <si>
    <t>КМЧ для ДРГ.М-5000 (до 2,5МПа/до 4,0МПа/до 6,3МПа/до 10,0МПа/до 16,0МПа/до 25,0МПа)</t>
  </si>
  <si>
    <t>КМЧ для ДРГ.М-10000 (до 2,5МПа/до 4,0МПа/до 6,3МПа/до 10,0МПа/до 16,0МПа/до 25,0МПа)</t>
  </si>
  <si>
    <t>КМЧ для ДРГ.М-160/80, 160(до 2,5МПа/до 4,0МПа/до 6,3МПа/до 10,0МПа/до 16,0МПа/до 25,0МПа)</t>
  </si>
  <si>
    <t>КОМПЛЕКТЫ МОНТАЖНЫХ ЧАСТЕЙ ДЛЯ ДРГ.М</t>
  </si>
  <si>
    <t>ДАТЧИКИ РАСХОДА ГАЗА/ПАРА ДРГ.МЗ</t>
  </si>
  <si>
    <t>ДАТЧИКИ РАСХОДА ГАЗА/ПАРА ДРГ.МЗЛ (с лубрикатором)</t>
  </si>
  <si>
    <t>МОНТАЖНЫЕ ВСТАВКИ ДЛЯ ДРГ.М</t>
  </si>
  <si>
    <t>КОНТРОЛЛЕРЫ И ВЫЧИСЛИТЕЛИ ПРОИЗВОДСТВА АО ИПФ "СибНА"</t>
  </si>
  <si>
    <t>ДОПОЛНИТЕЛЬНЫЕ ОПЦИИ ДЛЯ  ДРГ.М, ДРГ.МЗ, ДРГ.МЗЛ</t>
  </si>
  <si>
    <t>НТ-1,6МПа-1,0-4-20мА-М20х1,5</t>
  </si>
  <si>
    <t>РАСХОДОМЕРЫ ВОДЫ</t>
  </si>
  <si>
    <t>РАСХОДОМЕРЫ ГАЗА/ПАРА</t>
  </si>
  <si>
    <t>Датчики расхода ДРГ.МЗ (АО ИПФ "СибНА") + КМЧ для ДРГ.МЗ</t>
  </si>
  <si>
    <t>Датчики расхода ДРГ.МЗЛ (АО ИПФ "СибНА") (с лубрикатором)</t>
  </si>
  <si>
    <t>Контроллеры БВР.М, МИКОНТ (АО ИПФ "СибНА")</t>
  </si>
  <si>
    <t>ТАХОМЕТРИЧЕСКИЕ СЧЕТЧИКИ ВОДЫ</t>
  </si>
  <si>
    <t>КМЧ МФ - № 06 под приварку (МФ-10.21.1, МФ-10.2.1)</t>
  </si>
  <si>
    <t>Датчики расхода ДРГ.М,  ДРГ.МЗ, ДРГ.МЗЛ (АО ИПФ "СибНА") + КМЧ для ДРГ.М</t>
  </si>
  <si>
    <t>ТЕРМОМЕТРЫ СОПРОТИВЛЕНИЯ</t>
  </si>
  <si>
    <t>КТПТР/ТПТ термометры сопротивления  (Термико)</t>
  </si>
  <si>
    <t>КТСП-Н/ТСП-Н  термометры сопротивления  (Интэп)</t>
  </si>
  <si>
    <t>КТС-Б/ТС-Б  термометры сопротивления  (Термопойнт)</t>
  </si>
  <si>
    <t>ПРЕОБРАЗОВАТЕЛИ ДАВЛЕНИЯ</t>
  </si>
  <si>
    <t>Преобразователи давления для узлов учета тепла</t>
  </si>
  <si>
    <t>СДВ-А общепромышленные датчики абсолютного давления</t>
  </si>
  <si>
    <t>СДВ-И общепромышленные датчики избыточного давления</t>
  </si>
  <si>
    <t>Гильза L-80 мм (М20*1,5)</t>
  </si>
  <si>
    <t>Гильза L-70 мм (М20*1,5)</t>
  </si>
  <si>
    <t>Гильза L-60 мм (М20*1,5)</t>
  </si>
  <si>
    <t>Гильза L-45-6 мм-G1/2 (для КТСП-Н-45)</t>
  </si>
  <si>
    <t>Гильза L-45 мм (М20*1,5)</t>
  </si>
  <si>
    <t>Гильза L-35 мм (G1/2)</t>
  </si>
  <si>
    <t>Гильза L-100 мм (М20*1,5)</t>
  </si>
  <si>
    <t>Гильза L80 резьба внутр. и наруж. М20х1,5</t>
  </si>
  <si>
    <t>Гильза L60 резьба внутр. и наруж. М20х1,5 внутр диаметр 8мм</t>
  </si>
  <si>
    <t>Гильза L45 (нар. резьба G1/4)</t>
  </si>
  <si>
    <t>Гильза L200 резьба внутр. и наруж. М20х1,5</t>
  </si>
  <si>
    <t>Гильза L160 резьба внутр. и наруж. М20х1,5</t>
  </si>
  <si>
    <t>Гильза L120 резьба внутр. и наруж. М20х1,5</t>
  </si>
  <si>
    <t>Гильза L100 резьба внутр. и наруж. М20х1,5</t>
  </si>
  <si>
    <t>Гильза защитная ГЗ-6,3-8-80</t>
  </si>
  <si>
    <t>Гильза защитная ГЗ-6,3-8-60</t>
  </si>
  <si>
    <t>Гильза защитная ГЗ-6,3-8-160</t>
  </si>
  <si>
    <t>Гильза защитная ГЗ-6,3-8-120</t>
  </si>
  <si>
    <t>Гильза защитная ГЗ-6,3-8-100</t>
  </si>
  <si>
    <t>Гильза защитная ГЗ-6,3-6-2-133</t>
  </si>
  <si>
    <t>Гильза защитная ГЗ-6,3-6-2-98</t>
  </si>
  <si>
    <t>Гильза защитная ГЗ-6,3-6-2-70</t>
  </si>
  <si>
    <t>Гильза защитная ГЗ-6,3-4-1-90 (G1/2)</t>
  </si>
  <si>
    <t>Гильза защитная ГЗ-6,3-4-1-80 (G1/2)</t>
  </si>
  <si>
    <t>Гильза защитная ГЗ-6,3-4-1-60 (G1/2)</t>
  </si>
  <si>
    <t>Гильза защитная ГЗ-6,3-4-1-45 (G1/2)</t>
  </si>
  <si>
    <t>Гильза защитная ГЗ-6,3-4-1-35 (G1/2)</t>
  </si>
  <si>
    <t>Гильза защитная ГЗ-6,3-8-630</t>
  </si>
  <si>
    <t>Гильза защитная ГЗ-6,3-8-500</t>
  </si>
  <si>
    <t>Гильза защитная ГЗ-6,3-8-400</t>
  </si>
  <si>
    <t>Гильза защитная ГЗ-6,3-8-320</t>
  </si>
  <si>
    <t>Гильза защитная ГЗ-6,3-8-250</t>
  </si>
  <si>
    <t>Гильза защитная ГЗ-6,3-8-200</t>
  </si>
  <si>
    <t>Сталь 20</t>
  </si>
  <si>
    <t>Нерж. (12Х18Н10Т)</t>
  </si>
  <si>
    <t>35 мм.</t>
  </si>
  <si>
    <t>45 мм.</t>
  </si>
  <si>
    <t>60 мм.</t>
  </si>
  <si>
    <t>70 мм.</t>
  </si>
  <si>
    <t>100 мм.</t>
  </si>
  <si>
    <t>120 мм.</t>
  </si>
  <si>
    <t>160 мм.</t>
  </si>
  <si>
    <t>320 мм.</t>
  </si>
  <si>
    <t>400 мм.</t>
  </si>
  <si>
    <t>630 мм.</t>
  </si>
  <si>
    <t>90 мм.</t>
  </si>
  <si>
    <t>98 мм.</t>
  </si>
  <si>
    <t>133 мм.</t>
  </si>
  <si>
    <t>Гильзы для термометров сопротивления</t>
  </si>
  <si>
    <t xml:space="preserve">"СИСТЕМЫ КОНТРОЛЯ" - ОБОРУДОВАНИЕ ДЛЯ АВТОМАТИЗАЦИИ </t>
  </si>
  <si>
    <t xml:space="preserve">"ОВЕН" - ОБОРУДОВАНИЕ ДЛЯ АВТОМАТИЗАЦИИ </t>
  </si>
  <si>
    <t>30°C</t>
  </si>
  <si>
    <t>130°C</t>
  </si>
  <si>
    <t>0,65 кг.</t>
  </si>
  <si>
    <t>СВКМ15Г (гор.вода)</t>
  </si>
  <si>
    <t>СВКМ15Х (хол.вода)</t>
  </si>
  <si>
    <t>СВКМ15У (универс., 80 мм.)</t>
  </si>
  <si>
    <t>СВКМ15У (универс, 110 мм.)</t>
  </si>
  <si>
    <t>СВК15Х(М) (хол., мокроход.)</t>
  </si>
  <si>
    <t>0,95 кг.</t>
  </si>
  <si>
    <t>1,4 кг.</t>
  </si>
  <si>
    <t>6,0 м3/ч</t>
  </si>
  <si>
    <t>1,85 кг.</t>
  </si>
  <si>
    <t>10,0 м3/ч</t>
  </si>
  <si>
    <t>155 мм.</t>
  </si>
  <si>
    <t>2,3 кг.</t>
  </si>
  <si>
    <t>15,0 м3/ч</t>
  </si>
  <si>
    <t>215 мм.</t>
  </si>
  <si>
    <t>СВКМ20Г (гор.вода)</t>
  </si>
  <si>
    <t>СВКМ20Х (хол.вода)</t>
  </si>
  <si>
    <t>СВКМ 20МХ(М) (многоструйный)</t>
  </si>
  <si>
    <t>СВКМ 20Х(М) (мокроход)</t>
  </si>
  <si>
    <t>СВК25Г (гор.вода)</t>
  </si>
  <si>
    <t>СВК25Х (хол.вода)</t>
  </si>
  <si>
    <t>СВК32Х (хол.вода)</t>
  </si>
  <si>
    <t>СВК40Х (хол.вода)</t>
  </si>
  <si>
    <t>СВК50Х (хол.вода)</t>
  </si>
  <si>
    <t>СВК32Г (гор.вода)</t>
  </si>
  <si>
    <t>СВК40Г (гор.вода)</t>
  </si>
  <si>
    <t>СВК50Г (гор.вода)</t>
  </si>
  <si>
    <t>Счетчики  WPH ВОЛЬТМАНА турбинные Ду50…400 (ZENNER)</t>
  </si>
  <si>
    <t xml:space="preserve">Счетчики MTK-N / MTW-N домовые  Ду20…50 (ZENNER) </t>
  </si>
  <si>
    <t xml:space="preserve">Счетчики ETK / ETW квартирные Ду15...20 (ZENNER) </t>
  </si>
  <si>
    <t>Счетчики СВКМ Ду15...50 (Норма ИС)</t>
  </si>
  <si>
    <t>0,025-5,00</t>
  </si>
  <si>
    <t>0,035-7,00</t>
  </si>
  <si>
    <t>0,100-20,00</t>
  </si>
  <si>
    <t>0,060-12,00</t>
  </si>
  <si>
    <t>Qnom</t>
  </si>
  <si>
    <t>Длина, мм.</t>
  </si>
  <si>
    <t>Принадлежности для монтажа к КАРАТ-520</t>
  </si>
  <si>
    <t>КМЧ 1 (Штуцеры с гайкой для присоединения расходомера к трубе.)</t>
  </si>
  <si>
    <t>Монтажные вставки к КАРАТ-520</t>
  </si>
  <si>
    <t>МВ-20</t>
  </si>
  <si>
    <t>МВ-20 (Прямой участок на место расходомера при поверке или сварочных работах)</t>
  </si>
  <si>
    <t>МВ-25 (Прямой участок на место расходомера при поверке или сварочных работах)</t>
  </si>
  <si>
    <t>МВ-32 (Прямой участок на место расходомера при поверке или сварочных работах)</t>
  </si>
  <si>
    <t>МВ-40 (Прямой участок на место расходомера при поверке или сварочных работах)</t>
  </si>
  <si>
    <t>автономное питание ▪ измерение в прямом направлении ▪ ЖК дисплей ▪ импульсный выход, LoRaWAN</t>
  </si>
  <si>
    <t>КАРАТ-520 — ультразвуковой расходомер-счетчик</t>
  </si>
  <si>
    <t>КАРАТ-551, фланец</t>
  </si>
  <si>
    <t>Опция «Реверс»</t>
  </si>
  <si>
    <t xml:space="preserve">Опция «Индикация» </t>
  </si>
  <si>
    <t>Ном. Расход, м3/ч</t>
  </si>
  <si>
    <t>0,040-10</t>
  </si>
  <si>
    <t>0,30-75</t>
  </si>
  <si>
    <t>1,20-300</t>
  </si>
  <si>
    <t xml:space="preserve">Устанавливается на место
расходомера при поверке или
сварочных работах
</t>
  </si>
  <si>
    <t>Краткое описание</t>
  </si>
  <si>
    <t>КАРАТ-551 — электромагнитный расходомер-счетчик</t>
  </si>
  <si>
    <t>сетевое питание ▪ измерение в прямом и обратном направлении (кроме Ду 50) ▪ импульсный выход</t>
  </si>
  <si>
    <t>Монтажные вставки к КАРАТ-551</t>
  </si>
  <si>
    <t>МВ-25</t>
  </si>
  <si>
    <t>МВ-32</t>
  </si>
  <si>
    <t>МВ-40</t>
  </si>
  <si>
    <t>МВ-50</t>
  </si>
  <si>
    <t>МВ-65</t>
  </si>
  <si>
    <t>МВ-80</t>
  </si>
  <si>
    <t>МВ-100</t>
  </si>
  <si>
    <t>МВ-150</t>
  </si>
  <si>
    <t>СВКМ СЧЕТЧИКИ ВОДЫ (НОРМА ИС)</t>
  </si>
  <si>
    <t>ВЕРХНИЙ ПРЕДЕЛ ИЗМЕРЕНИЯ, МПа</t>
  </si>
  <si>
    <t>МАТЕРИАЛ</t>
  </si>
  <si>
    <t>ГИЛЬЗЫ ДЛЯ КТПТР-01, ТПТ-1-3, КТСП-Н, ТСП-Н</t>
  </si>
  <si>
    <t>ГИЛЬЗЫ ДЛЯ КТПТР-05, ТПТ-15-2</t>
  </si>
  <si>
    <t>ЗАЩИТНЫЕ ГИЛЬЗЫ ДЛЯ ТЕРМОМЕТРОВ СОПРОТИВЛЕНИЯ</t>
  </si>
  <si>
    <t>ЭРСВ (ЛАЙТ-М) РАСХОДОМЕРЫ СЧЕТЧИКИ ЭЛЕКТРОМАГНИТНЫЕ (ВЗЛЕТ)</t>
  </si>
  <si>
    <t>ВЭПС-Р ВИХРЕВЫЕ ЭЛЕКТРОМАГНИТНЫЕ РАСХОДОМЕРЫ (ПРОМСЕРВИС)</t>
  </si>
  <si>
    <t>ЭМИР-ПРАМЕР-550 ЭЛЕКТРОМАГНИТНЫЕ РАСХОДОМЕРЫ (ПРОМСЕРВИС)</t>
  </si>
  <si>
    <t>Ду 10</t>
  </si>
  <si>
    <t>ЭРСВ</t>
  </si>
  <si>
    <t>Адаптер АДС99</t>
  </si>
  <si>
    <t>Адаптер АДС98</t>
  </si>
  <si>
    <t>Адаптер АДП83</t>
  </si>
  <si>
    <t>Базовая модель</t>
  </si>
  <si>
    <t>Интерфейс RS-232, или RS-485 или USB (встроенный)</t>
  </si>
  <si>
    <t>Блок токового выхода (встроенный)</t>
  </si>
  <si>
    <t>Блок уставок сигнализации (встроенный)</t>
  </si>
  <si>
    <t>Блок импульсного выхода (встроенный)</t>
  </si>
  <si>
    <t>Блок питания 12В постоянного тока (встроенный)</t>
  </si>
  <si>
    <t>Монтажный набор для установки АП-13 (АП-11) на трубопроводе</t>
  </si>
  <si>
    <t>Блок релейного выхода или блок импульсного выхода (встроенный)</t>
  </si>
  <si>
    <t>Блок релейного выхода или блок импульсного выхода</t>
  </si>
  <si>
    <t xml:space="preserve">АКРОН-01 Портативный измерительный комплект с расходомером с толщиномером </t>
  </si>
  <si>
    <t>ЭХО-АС-01 Датчик уровня (уровнемер) акустический (общепромышленное исполнение)</t>
  </si>
  <si>
    <t>Расходомеры Карат-РС ультразвуковые (Уралтехнология)</t>
  </si>
  <si>
    <t xml:space="preserve">Расходомеры ЭХО-Р-02 акустические для открытых каналов и безнапорных трубопроводов (СИГНУР) </t>
  </si>
  <si>
    <t xml:space="preserve">Расходомеры АКРОН-01 ультразвуковые накладные для напорных трубопроводов (СИГНУР) </t>
  </si>
  <si>
    <t xml:space="preserve">Расходомеры АКРОН-02-1 ультразвуковые накладные двухкорпусные для напорных трубопроводов (СИГНУР) </t>
  </si>
  <si>
    <t>Расходомеры АКРОН-02 ультразвуковые накладные двухканальные (двухлучевые) (СИГНУР)</t>
  </si>
  <si>
    <t>Расходомеры АКРОН-01 Портативные измерительные комплекты (СИГНУР)</t>
  </si>
  <si>
    <t>Расходомеры КАРАТ-551 электромагнитные (Уралтехнология)</t>
  </si>
  <si>
    <t>Расходомеры КАРАТ-520 ультразвуковые (Уралтехнология)</t>
  </si>
  <si>
    <t xml:space="preserve">Расходомеры ЭРСВ ЛАЙТ-М электромагнитные + опции, присоед. арматура, имитаторы (ВЗЛЕТ) </t>
  </si>
  <si>
    <t>Расходомеры ЭМИР-ПРАМЕР вихревые (ПРОМСЕРВИС)</t>
  </si>
  <si>
    <t>Расходомеры ВЭПС-Р вихревые + монажные части (ПРОМСЕРВИС)</t>
  </si>
  <si>
    <t>Расходомеры Питерфлоу РС электромагнитные + адаптеры, имитаторы (Термотроник)</t>
  </si>
  <si>
    <t>Расходомеры ВПС вихревые (Промприбор)</t>
  </si>
  <si>
    <t>Расходомеры Мастерфлоу электромагнитные + доп. Модули, КМЧ, имитаторы (Промприбор)</t>
  </si>
  <si>
    <t xml:space="preserve">Расходомеры ПРЭМ электромагнитные + опции, КМЧ, имитаторы, пиварные детали (Теплоком/ИВТ) </t>
  </si>
  <si>
    <t xml:space="preserve">Расходомеры Питерфлоу СВ электромагнитные + адаптеры, имитаторы (Термотроник) </t>
  </si>
  <si>
    <t>Расходомеры Мастерфлоу 5.2.2 электромагнитные + доп. Оборудование (Конвент)</t>
  </si>
  <si>
    <t>ДАТЧИКИ УРОВНЯ</t>
  </si>
  <si>
    <t>ЭХО-АС-01 Датчик уровня (уровнемер) акустический (СИГНУР)</t>
  </si>
  <si>
    <t>Ультразвуковой теплосчетчик СТУ-1 М2 - двухканальный (RS232, Архив)</t>
  </si>
  <si>
    <t>Ультразвуковой теплосчетчик СТУ-1 М3 - двухканальный (USB, Архив)</t>
  </si>
  <si>
    <t>Ультразвковой расходомер УРЖ2КМ М2 - одноканальный (RS232)</t>
  </si>
  <si>
    <t>Ультразвковой расходомер УРЖ2КМ М2 - двухканальный (RS232)</t>
  </si>
  <si>
    <t>Ультразвковой расходомер УРЖ2КМ М3 - двухканальный (USB, Архив)</t>
  </si>
  <si>
    <t>Токовый выход (для УРЖ2КМ)</t>
  </si>
  <si>
    <t>Интерфейс RS485 (для УРЖ2КМ и СТУ-1)</t>
  </si>
  <si>
    <t>Интерфейс RS232 (для СТУ-1 М3 и УРЖ2КМ М3)</t>
  </si>
  <si>
    <t>Интерфейс USB (для СТУ-1 М2 и УРЖ2КМ М2)</t>
  </si>
  <si>
    <t>Сервер Ethernet (для СТУ-1 М2 и УРЖ2КМ М2)</t>
  </si>
  <si>
    <t>Архив (для УРЖ2КМ М2)</t>
  </si>
  <si>
    <t>Автономное питание (для УРЖ2КМ М3)</t>
  </si>
  <si>
    <t>Комплект ультразвуковых датчиков ПЭП 3-25 (ПЭП 3-1)</t>
  </si>
  <si>
    <t>Комплект ультразвуковых датчиков ПЭП 3-25</t>
  </si>
  <si>
    <t>Комплект ультразвуковых датчиков ПЭП 3-50</t>
  </si>
  <si>
    <t>Комплект ультразвуковых датчиков ПЭП 3-65</t>
  </si>
  <si>
    <t>Комплект ультразвуковых датчиков ПЭП 3-65 с держателями для УСД-300</t>
  </si>
  <si>
    <t>Комплект ультразвуковых датчиков ПЭП 3-4 IP65</t>
  </si>
  <si>
    <t>Комплект ультразвуковых датчиков ПЭП 6-20 (ПЭП 6-1)</t>
  </si>
  <si>
    <t>Комплект ультразвуковых датчиков ПЭП 3-25 IP68 кабель от 5м</t>
  </si>
  <si>
    <t>Комплект ультразвуковых датчиков ПЭП 3-35 IP68 кабель от 5м</t>
  </si>
  <si>
    <t>Комплект ультразвуковых датчиков ПЭП помехозащищенные ПП-200-тип 204-1,5МГц</t>
  </si>
  <si>
    <t>Комплект ультразвуковых датчиков ПЭП помехозащищенные ПП-200-тип 212Н-1,5МГц</t>
  </si>
  <si>
    <t>Съёмник ультразвуковых датчиков под давлением - УСД-300</t>
  </si>
  <si>
    <t>Бобышка с гайкой и прокладкой для ПЭП, комплект</t>
  </si>
  <si>
    <t>Усилитель на 6ДБ (х2) с гальванической развязкой для ПЭП-3 и ПЭП-6</t>
  </si>
  <si>
    <t>Двухканальный блок питания ТЕСС 075 2-4</t>
  </si>
  <si>
    <t>Кабель РК 50-2-11, парный 1м х 2</t>
  </si>
  <si>
    <t>Кабель КММ (КСПВГ) 4х0,35, парный 1м х 2</t>
  </si>
  <si>
    <t>Поддержка GPRS/SMTP для теплосчетчика СТУ-1 (программа)</t>
  </si>
  <si>
    <t>Преобразователь Ethernet/RS232/RS485</t>
  </si>
  <si>
    <t>Преобразователь USB - RS232/RS485</t>
  </si>
  <si>
    <t>Кабель USB - RS232</t>
  </si>
  <si>
    <t>Х-образная из нержавеющей стали Ду15</t>
  </si>
  <si>
    <t>Х-образная из нержавеющей стали Ду20</t>
  </si>
  <si>
    <t>U-образная из нержавеющей стали Ду15</t>
  </si>
  <si>
    <t>U-образная из нержавеющей стали Ду20</t>
  </si>
  <si>
    <t>U-образная из нержавеющей стали Ду25</t>
  </si>
  <si>
    <t>U-образная из нержавеющей стали Ду32</t>
  </si>
  <si>
    <t>U-образная из нержавеющей стали Ду40</t>
  </si>
  <si>
    <t>U-образная из нержавеющей стали Ду50</t>
  </si>
  <si>
    <t>Полнопроходная Ду32</t>
  </si>
  <si>
    <t>Полнопроходная Ду40</t>
  </si>
  <si>
    <t>Полнопроходная Ду50</t>
  </si>
  <si>
    <t>Полнопроходная Ду65</t>
  </si>
  <si>
    <t>Полнопроходная Ду80</t>
  </si>
  <si>
    <t>Полнопроходная Ду100</t>
  </si>
  <si>
    <t>Полнопроходная Ду150</t>
  </si>
  <si>
    <t>Полнопроходная Ду200</t>
  </si>
  <si>
    <t>Черная сталь</t>
  </si>
  <si>
    <t>12Х18Н10Т</t>
  </si>
  <si>
    <t>Полнопроходная Ду250</t>
  </si>
  <si>
    <t>Полнопроходная Ду300</t>
  </si>
  <si>
    <t>Полнопроходная Ду350</t>
  </si>
  <si>
    <t>Полнопроходная Ду400</t>
  </si>
  <si>
    <t>Полнопроходная Ду500</t>
  </si>
  <si>
    <t>Полнопроходная Ду600</t>
  </si>
  <si>
    <t>Полнопроходная Ду700</t>
  </si>
  <si>
    <t>Полнопроходная Ду800</t>
  </si>
  <si>
    <t>Полнопроходная Ду1000</t>
  </si>
  <si>
    <t>Полнопроходная Ду1200</t>
  </si>
  <si>
    <t>Монтаж датчиков по 2м хордам (два луча)</t>
  </si>
  <si>
    <t>Монтаж датчиков по диаметру или по хорде</t>
  </si>
  <si>
    <t>Комплект СТУ-1 модель 2 Ду15</t>
  </si>
  <si>
    <t>Комплект СТУ-1 модель 2 Ду20</t>
  </si>
  <si>
    <t>Комплект СТУ-1 модель 2 Ду25</t>
  </si>
  <si>
    <t>Комплект СТУ-1 модель 2 Ду32</t>
  </si>
  <si>
    <t>Комплект СТУ-1 модель 2 Ду40</t>
  </si>
  <si>
    <t>Комплект СТУ-1 модель 2 Ду50</t>
  </si>
  <si>
    <t>Комплект СТУ-1 Ду32</t>
  </si>
  <si>
    <t>Комплект СТУ-1 Ду40</t>
  </si>
  <si>
    <t>Комплект СТУ-1 Ду50</t>
  </si>
  <si>
    <t>Комплект СТУ-1 Ду65</t>
  </si>
  <si>
    <t>Комплект СТУ-1 Ду80</t>
  </si>
  <si>
    <t>Комплект СТУ-1 Ду100</t>
  </si>
  <si>
    <t>Комплект СТУ-1 Ду150</t>
  </si>
  <si>
    <t>Комплект СТУ-1 Ду200</t>
  </si>
  <si>
    <t>Погодный регулятор САРТЭГ (ДВА КОНТУРА) Комплект</t>
  </si>
  <si>
    <t>Электронный блок Микконт М-180</t>
  </si>
  <si>
    <t>Датчики температуры типа DS18B20 (Комплект)</t>
  </si>
  <si>
    <t>Датчик температуры типа DS18B20 (Уличный)</t>
  </si>
  <si>
    <t>Щит электроуправления  с DIN-рейками в сборе  с клеммными колодками и индикаторами</t>
  </si>
  <si>
    <t>Погодный регулятор САРТЭГ (ОДИН КОНТУР) Комплект</t>
  </si>
  <si>
    <t>"ПИТЕРФЛОУ РС" РАСХОДОМЕРЫ ЭЛЕКТРОМАГНИТНЫЕ (ТЕРМОТРОНИК)</t>
  </si>
  <si>
    <t>IP68 Расходомеры электромагнитные «ПИТЕРФЛОУ РС» IP68</t>
  </si>
  <si>
    <t>СТУ1 УЛЬТРАЗВУКОВОЙ ТЕПЛОСЧЕТЧИК (ТЕСС-ИНЖИНИРИНГ)</t>
  </si>
  <si>
    <t>УРЖ2КМ М2 УЛЬТРАЗВУКОВОЙ РАСХОДОМЕР (ТЕСС-ИНЖИНИРИНГ)</t>
  </si>
  <si>
    <t>ДОПОЛНИТЕЛЬНЫЕ ОПЦИИ</t>
  </si>
  <si>
    <t>КОМПЛЕКТУЮЩИЕ ДЛЯ ИЗМЕРИТЕЛЬНОГО УЧАСТКА</t>
  </si>
  <si>
    <t>КОМПЛЕКТУЮЩИЕ ДЛЯ УЛЬТРАЗВУКОВОГО ПРИБОРА</t>
  </si>
  <si>
    <t>ФЛАНЦЕВОЕ ИСПОЛНЕНИЕ ИЗ ЧЕРНОЙ СТАЛИ</t>
  </si>
  <si>
    <t>ИСПОЛНЕНИЕ ПОД СВАРКУ ИЗ ЧЕРНОЙ СТАЛИ</t>
  </si>
  <si>
    <t>РЕЗЬБОВОЕ ИСПОЛНЕНИЕ</t>
  </si>
  <si>
    <t>ФЛАНЦЕВОЕ ИСПОЛНЕНИЕ - ПОЛНОПРОХОДНОЕ</t>
  </si>
  <si>
    <t>Х-ОБРАЗНЫЙ РЕЗЬБОВОЙ</t>
  </si>
  <si>
    <t>U-ОБРАЗНЫЙ РЕЗЬБОВОЙ</t>
  </si>
  <si>
    <t>U-ОБРАЗНЫЙ ФЛАНЦЕВЫЙ</t>
  </si>
  <si>
    <t>ПРЯМОЛИНЕЙНЫЙ</t>
  </si>
  <si>
    <t>УПР - УЛЬТРАЗВУКОВЫЕ ПРЕОБРАЗОВАТЕЛИ РАСХОДА (ТЕСС-ИНЖИНИРИНГ)</t>
  </si>
  <si>
    <t>СТУ-1 - КОМПЛЕКТЫ ТЕПЛОСЧЕТЧИКОВ (ТЕСС-ИНЖИНИРИНГ)</t>
  </si>
  <si>
    <t>Погодный регулятор САРТЭГ Комплект (ТЕСС-ИНЖИНИРИНГ)</t>
  </si>
  <si>
    <t>ДРГ.М ДАТЧИКИ РАСХОДА ГАЗА/ПАРА (СИБНЕФТЕАВТОМАТИКА)</t>
  </si>
  <si>
    <t>РАСХОДОМЕРЫ СТОЧНЫХ ВОД, ВОДЫ</t>
  </si>
  <si>
    <t>Ультразвуковые счетчики СТУ1, УРЖ2КМ, в т.ч. УПР, ПЭП, доп. опции, комплектующие (ТЕСС-ИНЖИНИРИНГ)</t>
  </si>
  <si>
    <t>ТЕПЛОСЧЕТЧИКИ, РАСХОДОМЕРЫ УЛЬТРАЗВУКОВЫЕ</t>
  </si>
  <si>
    <t>Погодные регуляторы САРТЭГ + блок МИККОНТ, датчики (ТЕСС-ИНЖИНИРИНГ)</t>
  </si>
  <si>
    <t>АКРОН-01 Ультразвуковой расходомер c накладными излучателями для напорных трубопроводов</t>
  </si>
  <si>
    <t>ЭЛЕКТРОННЫЕ БЛОКИ</t>
  </si>
  <si>
    <t>Цена на УПР (фланцевое исполнение) указана с КМЧ. Состав: 2 ответных фланца, 2 прокладки, болты, гайки
Все УПР комплектуются датчиками типа ПЭП-3 или ПЭП-6. Измерительный участок Ду выше 250мм могут быть оснащены специальными у/з датчиками для их смены под давлением - УСД300. Цена УПР с расчетным давлением 2,5 МПа равняется стоимости исполнения 1,6 МПа, помноженной на коэффициент 1,6. Срок изготовления 1-2 недели</t>
  </si>
  <si>
    <t>Ультразвуковой теплосчетчик СТУ-1 М3 - четырехканальный (USB, Архив)</t>
  </si>
  <si>
    <t>Ультразвковой расходомер УРЖ2КМ М3 - четырехканальный (USB, Архив)</t>
  </si>
  <si>
    <t>ГИЛЬЗЫ ДЛЯ КТПТР-06, ТПТ-19-1</t>
  </si>
  <si>
    <r>
      <t xml:space="preserve">ETW-I-N-AM DN 20 </t>
    </r>
    <r>
      <rPr>
        <sz val="8"/>
        <color theme="1"/>
        <rFont val="Calibri"/>
        <family val="2"/>
        <charset val="204"/>
        <scheme val="minor"/>
      </rPr>
      <t>(Металлорукав)</t>
    </r>
  </si>
  <si>
    <r>
      <t xml:space="preserve">ETW-I-N-AM DN 15 </t>
    </r>
    <r>
      <rPr>
        <sz val="8"/>
        <color theme="1"/>
        <rFont val="Calibri"/>
        <family val="2"/>
        <charset val="204"/>
        <scheme val="minor"/>
      </rPr>
      <t>(Металлорукав)</t>
    </r>
  </si>
  <si>
    <t>СДВ-А</t>
  </si>
  <si>
    <t>по запросу</t>
  </si>
  <si>
    <t>Нестандартная цена импульса</t>
  </si>
  <si>
    <t>Питание от литиевой батареи габарита С</t>
  </si>
  <si>
    <t>ТВ7-04.1М Лайт</t>
  </si>
  <si>
    <t>ТЕПЛОВЫЧИСЛИТЕЛИ ТВ7 исп. M  (ТЕРМОТРОНИК)</t>
  </si>
  <si>
    <t>Импульсный датчик для ET-N/MT-N/ СДВ Миномесс М (1-1000L/Imp.</t>
  </si>
  <si>
    <t>300мм.</t>
  </si>
  <si>
    <t>MTK-N DN 15</t>
  </si>
  <si>
    <t>165 мм.</t>
  </si>
  <si>
    <t>MTK-I / MTW-I (ZENNER) ДОМОВЫЕ СЧЕТЧИКИ ВОДЫ,  без имп. датчика, с присоед.</t>
  </si>
  <si>
    <t>ИЭН6–120015</t>
  </si>
  <si>
    <t>№</t>
  </si>
  <si>
    <t>Код</t>
  </si>
  <si>
    <t>Уникальный идентификатор (Номенклатура)</t>
  </si>
  <si>
    <t>Уникальный идентификатор (Характеристика)</t>
  </si>
  <si>
    <t>Уникальный идентификатор (Серия)</t>
  </si>
  <si>
    <t>Уникальный идентификатор (Упаковка)</t>
  </si>
  <si>
    <t>Товар</t>
  </si>
  <si>
    <t>Прайс-лист</t>
  </si>
  <si>
    <t>Старая цена</t>
  </si>
  <si>
    <t>Изменение</t>
  </si>
  <si>
    <t>%</t>
  </si>
  <si>
    <t>Цена</t>
  </si>
  <si>
    <t>15</t>
  </si>
  <si>
    <t>Источник питания с фильтром сетевых помех ИЭН6–120015 (12В, 150мА) для ТВ7М</t>
  </si>
  <si>
    <t>Тепловычислитель  961.2</t>
  </si>
  <si>
    <t>ЦЕНА, РУБ. С НДС</t>
  </si>
  <si>
    <t>Сэндвич</t>
  </si>
  <si>
    <t>2,51 - 1130 /2*</t>
  </si>
  <si>
    <t>4,5 - 1130 /2*</t>
  </si>
  <si>
    <t>7,5 - 1130 /2*</t>
  </si>
  <si>
    <t>3,78 - 1700 /2*</t>
  </si>
  <si>
    <t>6,8 - 1700 /2*</t>
  </si>
  <si>
    <t>11,3 - 1700 /2*</t>
  </si>
  <si>
    <t>6,89- 3100 /2*</t>
  </si>
  <si>
    <t>12,4- 3100 /2*</t>
  </si>
  <si>
    <t>20,7- 3100 /2*</t>
  </si>
  <si>
    <t>0,04 - 18 /2*</t>
  </si>
  <si>
    <t>0,072 - 18 /2*</t>
  </si>
  <si>
    <t>0,12 - 18 /2*</t>
  </si>
  <si>
    <t>Для подкл. ЭЛЬФ, КАРАТ-306 к  компьютеру по интерфейсу RS-232 коммуникатора Взлет</t>
  </si>
  <si>
    <t>0,013 - 6 /2*</t>
  </si>
  <si>
    <t>0,024 - 6 /2*</t>
  </si>
  <si>
    <t>0,04 - 6 /2*</t>
  </si>
  <si>
    <t>---</t>
  </si>
  <si>
    <t>Подбор пары ЭМР по метрологическим</t>
  </si>
  <si>
    <t>Степень защиты IP68 Ду 15-50 мм</t>
  </si>
  <si>
    <t>Степень защиты IP68 Ду 65-80 мм</t>
  </si>
  <si>
    <t>Степень защиты IP68 Ду 100-300 мм</t>
  </si>
  <si>
    <t>Электроды ТИТАН</t>
  </si>
  <si>
    <t>Электроды ХАСТЕЛЛОЙ</t>
  </si>
  <si>
    <t>Электроды ТАНТАЛ</t>
  </si>
  <si>
    <t>Фланцевый (МФ5)</t>
  </si>
  <si>
    <t>Резьбовой (МФ2Р)</t>
  </si>
  <si>
    <t>Класс Б</t>
  </si>
  <si>
    <t>Класс В</t>
  </si>
  <si>
    <t>Межфланцевый ("сендвич" МФ2)</t>
  </si>
  <si>
    <t>Сетевой блок питания DR30-12</t>
  </si>
  <si>
    <t>Частотный выход (в случае необходимости указать при заказе)</t>
  </si>
  <si>
    <t>Импульсный выход измерения обратного (реверсивного) потока</t>
  </si>
  <si>
    <t>Дополнительный токовый выход 4-20 мА (исполнение МФ-Т)</t>
  </si>
  <si>
    <t xml:space="preserve">Межфланцевый(МФ2/МФ10) </t>
  </si>
  <si>
    <t>Резьбовой (МФ2Р/МФ10)</t>
  </si>
  <si>
    <t>запрос</t>
  </si>
  <si>
    <t>ЦЕНА, с НДС</t>
  </si>
  <si>
    <t>Ду, мм</t>
  </si>
  <si>
    <t>Диапазон м3/ч</t>
  </si>
  <si>
    <t>МастерФлоу 5.2.2 (класс Б) 
фланцевый</t>
  </si>
  <si>
    <t>МастерФлоу 8.2.2 (класс Б) 
сэндвич</t>
  </si>
  <si>
    <t>0,03-6</t>
  </si>
  <si>
    <t>0,47-120</t>
  </si>
  <si>
    <t xml:space="preserve">(КОНВЕНТ) ПРЕОБРАЗОВАТЕЛИ РАСХОДА ЭЛЕКТРОМАГНИТНЫЕ «МАСТЕРФЛОУ» МФ-5.2.2; 7.2.2, 8.2.2 (без блока питания) </t>
  </si>
  <si>
    <t>Расходомеры КОНВЕНТ МАСТЕРФЛОУ 5.2.2 /8.2.2 (класс Б)  (КОНВЕНТ)</t>
  </si>
  <si>
    <t>-----</t>
  </si>
  <si>
    <t>Установка нестандартной цены импульса</t>
  </si>
  <si>
    <t>Блок питания импульсный БП-12-0,4 (220В-50гц/12В=, для питания МастерФлоу ) OOO"Конвент" DIN-рейка</t>
  </si>
  <si>
    <t>Блок индикации(БИ) (выносной) OOO"Конвент" 5 каналов расхода, 4 канала давления, выход RS-232, архив данных.</t>
  </si>
  <si>
    <t>Плата индикации(БИ) (встраиваемая в крышку МФ) с токовым выходом, RS-485, выход RS-232, архив данных</t>
  </si>
  <si>
    <t xml:space="preserve">Плата индикации(БИ) (встраиваемая в крышку МФ) </t>
  </si>
  <si>
    <t>Диапазон</t>
  </si>
  <si>
    <t>1:100</t>
  </si>
  <si>
    <t>ВПС1-ЧИ2.54(56)</t>
  </si>
  <si>
    <t>ВПС2-ЧИ2.54(56)</t>
  </si>
  <si>
    <t>Ду50</t>
  </si>
  <si>
    <t>Ду65</t>
  </si>
  <si>
    <t>Ду80</t>
  </si>
  <si>
    <t>Ду100</t>
  </si>
  <si>
    <t>Ду150</t>
  </si>
  <si>
    <t xml:space="preserve">КМЧ под приварку №2 </t>
  </si>
  <si>
    <t>КМЧ резьбовое №3</t>
  </si>
  <si>
    <t xml:space="preserve">Ду32 </t>
  </si>
  <si>
    <t>МОНТАЖНЫЕ ВСТАВКИ (ИМИТАТОРЫ) ВПС</t>
  </si>
  <si>
    <t>Наименование</t>
  </si>
  <si>
    <t>Длина</t>
  </si>
  <si>
    <t>Диапазон
м3/час</t>
  </si>
  <si>
    <t>Стоимость с НДС</t>
  </si>
  <si>
    <t>Питерфлоу РС20-6</t>
  </si>
  <si>
    <t>Питерфлоу РС20-12</t>
  </si>
  <si>
    <t>Питерфлоу РС25-9</t>
  </si>
  <si>
    <t>Питерфлоу РС25-18</t>
  </si>
  <si>
    <t>Питерфлоу РС32-15</t>
  </si>
  <si>
    <t>Питерфлоу РС32-30</t>
  </si>
  <si>
    <t>Питерфлоу РС40-22</t>
  </si>
  <si>
    <t>Питерфлоу РС40-45</t>
  </si>
  <si>
    <t>Питерфлоу РС50-36</t>
  </si>
  <si>
    <t>0,04 - 6,0</t>
  </si>
  <si>
    <t>0,08 - 12,0</t>
  </si>
  <si>
    <t xml:space="preserve"> 0,06 - 9,0</t>
  </si>
  <si>
    <t>0,12 - 18,0</t>
  </si>
  <si>
    <t>0,10 - 15,0</t>
  </si>
  <si>
    <t>0,20 - 30,0</t>
  </si>
  <si>
    <t>0,15 - 22,0</t>
  </si>
  <si>
    <t>0,30 - 45,0</t>
  </si>
  <si>
    <t>0,24 - 36,0</t>
  </si>
  <si>
    <t>0,48 - 72,0</t>
  </si>
  <si>
    <t>0,02 - 6,0</t>
  </si>
  <si>
    <t>0,013 - 6,0</t>
  </si>
  <si>
    <t>0,02 - 12,0</t>
  </si>
  <si>
    <t xml:space="preserve">0,05 - 12,0 </t>
  </si>
  <si>
    <t>0,036 - 9,0</t>
  </si>
  <si>
    <t>0,02 - 9,0</t>
  </si>
  <si>
    <t>0,04 - 18,0</t>
  </si>
  <si>
    <t>0,03 - 15,0</t>
  </si>
  <si>
    <t>0,07 - 30,0</t>
  </si>
  <si>
    <t>0,05 - 22,0</t>
  </si>
  <si>
    <t xml:space="preserve">0,10 - 45,0 </t>
  </si>
  <si>
    <t>0,08 - 36,0</t>
  </si>
  <si>
    <t>0,16 - 72,0</t>
  </si>
  <si>
    <t>0,29 - 72,0</t>
  </si>
  <si>
    <t>0,15 - 36,0</t>
  </si>
  <si>
    <t>0,16 - 45,0</t>
  </si>
  <si>
    <t>0,08 - 22,0</t>
  </si>
  <si>
    <t>0,12 - 30,0</t>
  </si>
  <si>
    <t>0,05 - 15,0</t>
  </si>
  <si>
    <t>0,08 - 18,0</t>
  </si>
  <si>
    <t>МУФТА (-М),  НЕРЖАВЕЮЩИЙ СПЛАВ</t>
  </si>
  <si>
    <t>Питерфлоу РС50-72</t>
  </si>
  <si>
    <t>Питерфлоу РС65-60</t>
  </si>
  <si>
    <t>Питерфлоу РС65-120</t>
  </si>
  <si>
    <t>Питерфлоу РС80-90</t>
  </si>
  <si>
    <t>Питерфлоу РС80-180</t>
  </si>
  <si>
    <t>Питерфлоу РС100-140</t>
  </si>
  <si>
    <t>Питерфлоу РС100-280</t>
  </si>
  <si>
    <t>0,40 - 60,0</t>
  </si>
  <si>
    <t>0,80 - 120,0</t>
  </si>
  <si>
    <t>0,60 - 90,0</t>
  </si>
  <si>
    <t>1,20 - 180,0</t>
  </si>
  <si>
    <t>0,93 - 140</t>
  </si>
  <si>
    <t>1,90 - 280</t>
  </si>
  <si>
    <t>0,24 - 60,0</t>
  </si>
  <si>
    <t>0,48 - 120,0</t>
  </si>
  <si>
    <t>0,36 - 90,0</t>
  </si>
  <si>
    <t>0,72 - 180,0</t>
  </si>
  <si>
    <t>0,56 - 140</t>
  </si>
  <si>
    <t>1,20 - 280</t>
  </si>
  <si>
    <t>0,13 - 60,0</t>
  </si>
  <si>
    <t>0,27 - 120,0</t>
  </si>
  <si>
    <t>0,20 - 90,0</t>
  </si>
  <si>
    <t>0,40 - 180,0</t>
  </si>
  <si>
    <t>0,31 - 140</t>
  </si>
  <si>
    <t>0,60 - 280</t>
  </si>
  <si>
    <t>Питерфлоу РС150-630 2,5МПа</t>
  </si>
  <si>
    <t>Питерфлоу РС200-1000 2,5МПа</t>
  </si>
  <si>
    <t>4,20 - 630</t>
  </si>
  <si>
    <t>6,67 - 1000</t>
  </si>
  <si>
    <t>2,50 - 630</t>
  </si>
  <si>
    <t>4,00 - 1000</t>
  </si>
  <si>
    <t>1,40 - 630</t>
  </si>
  <si>
    <t>2,25 - 1000</t>
  </si>
  <si>
    <t>IP68 Фланцы (-Ф), двухкомпонентное эпоксидное покрытие с высокой стойкостью к воде и химикатам</t>
  </si>
  <si>
    <t>IP68 Фланцы (-Ф1), нержавеющий сплав</t>
  </si>
  <si>
    <t>ВЭПС / ВЭПС-Р-ПБ2-
01
импульсный выход,
автономное питание</t>
  </si>
  <si>
    <t>ВЭПС / ВЭПС-ПБ1-03
токовый выход 4-20
(0-5 или 0-20) мА,
RS-485</t>
  </si>
  <si>
    <t>Монтажные части
(муфты 2÷5Ду,
фланцы – 2 шт.),
комплект</t>
  </si>
  <si>
    <t>Диапазон
измеряемых
расходов, м3/ч</t>
  </si>
  <si>
    <t>ВЭПС / ВЭПС-Р-ПБ1-01
частотный выход,
внешнее питание</t>
  </si>
  <si>
    <t>ВЭПС-Р: Диапазон расходов 1:50. Ду20-100, ВЭПС: Диапазон расходов 1:32 Ду20-300</t>
  </si>
  <si>
    <t>Фланцевый, Цена с НДС</t>
  </si>
  <si>
    <t>Сэндвич, Цена с НДС</t>
  </si>
  <si>
    <t>Индикатор</t>
  </si>
  <si>
    <t>Реверс 1:100</t>
  </si>
  <si>
    <t>Защита IP68</t>
  </si>
  <si>
    <t>Базовое исполнение</t>
  </si>
  <si>
    <t>ОПЦИИ (Цена с НДС)</t>
  </si>
  <si>
    <t>*Расходомер-счетчик Лайт М в базовом исполнении измеряет объемный расход реверсивного потока в диапазоне 1:100</t>
  </si>
  <si>
    <t>** Исполнение с фланцевым присоединением, в расчет цены включена стоимость кабеля 3 метра</t>
  </si>
  <si>
    <t>КАРАТ-520-20-1, резьбовое соединение</t>
  </si>
  <si>
    <t>КАРАТ-520-25-1, резьбовое соединение</t>
  </si>
  <si>
    <t>КАРАТ-520-32-1, резьбовое соединение</t>
  </si>
  <si>
    <t>КАРАТ-520-40-1, резьбовое соединение</t>
  </si>
  <si>
    <t>КАРАТ-520-20-1-Р, резьбовое соединение, "Реверс"</t>
  </si>
  <si>
    <t>КАРАТ-520-25-1-Р, резьбовое соединение, "Реверс"</t>
  </si>
  <si>
    <t>КАРАТ-520-32-1-Р, резьбовое соединение, "Реверс"</t>
  </si>
  <si>
    <t>КАРАТ-520-40-1-Р, резьбовое соединение, "Реверс"</t>
  </si>
  <si>
    <t>Расходомер с интегратором  акустический  ЭХО-Р-03-1</t>
  </si>
  <si>
    <t>Расходомер с интегратором  акустический  ЭХО-Р-03-1 (базовая модель)</t>
  </si>
  <si>
    <t>Расходомер с интегратором акустический ЭХО-Р-03-2 двухканальный и и ЭХО-Р-03-3 двухлучевой (баз. модель)</t>
  </si>
  <si>
    <t>Расходомер с интегратором акустический ЭХО-Р-03-2 двухканальный и и ЭХО-Р-03-3 двухлучевой</t>
  </si>
  <si>
    <t>Интерфейс RS-232, или RS-485 или USB (встроенный) — на два канала (встроенный)</t>
  </si>
  <si>
    <t>Блок токового выхода — на один канал (встроенный)</t>
  </si>
  <si>
    <t>Блок  релейного или импульсного выхода — на один канал (встроенный)</t>
  </si>
  <si>
    <t>Ультразвуковой  расходомер c накладными излучателями АКРОН-01</t>
  </si>
  <si>
    <t>АКРОН-02 -1 Ультразвуковой расходомер c накладными излучателями двухкорпусной</t>
  </si>
  <si>
    <t>Ультразвуковой  расходомер c накладными излучателями АКРОН-02 -1 - двухкорпусной</t>
  </si>
  <si>
    <t>АКРОН-02-2 двухканальный и АКРОН-02-3 двухлучевой</t>
  </si>
  <si>
    <t>Блок токового выхода на один канал (встроенный)</t>
  </si>
  <si>
    <t>Блок релейного или импульсного выхода на один канал</t>
  </si>
  <si>
    <t>Датчик уровня (уровнемер) акустический ЭХО-АС-01 (общепромышленное исполнение, базовая модель)</t>
  </si>
  <si>
    <t>71-15-01</t>
  </si>
  <si>
    <t>71-15-03</t>
  </si>
  <si>
    <t>71-15-234</t>
  </si>
  <si>
    <t>71-20-01</t>
  </si>
  <si>
    <t>71-20-03</t>
  </si>
  <si>
    <t>71-20-234</t>
  </si>
  <si>
    <t>72-15-249</t>
  </si>
  <si>
    <t>72-15-243</t>
  </si>
  <si>
    <t>72-15-244</t>
  </si>
  <si>
    <t>72-15-250</t>
  </si>
  <si>
    <t>72-15-246</t>
  </si>
  <si>
    <t>72-15-247</t>
  </si>
  <si>
    <t>72-15-251</t>
  </si>
  <si>
    <t>72-15-253</t>
  </si>
  <si>
    <t>72-15-245</t>
  </si>
  <si>
    <t>72-15-252</t>
  </si>
  <si>
    <t>72-15-254</t>
  </si>
  <si>
    <t>72-15-248</t>
  </si>
  <si>
    <t>72-15-260</t>
  </si>
  <si>
    <t>72-15-256</t>
  </si>
  <si>
    <t>73-15-02</t>
  </si>
  <si>
    <t>73-15-01</t>
  </si>
  <si>
    <t>73-15-270</t>
  </si>
  <si>
    <t>72-20-243</t>
  </si>
  <si>
    <t>72-20-245</t>
  </si>
  <si>
    <t>76-15-05</t>
  </si>
  <si>
    <t>76-20-05</t>
  </si>
  <si>
    <t>Счетчик воды Декаст ВКМ-15</t>
  </si>
  <si>
    <t>Счетчик воды Декаст ВКМ-15 ДГ2</t>
  </si>
  <si>
    <t>Счетчик воды Декаст ВКМ-15 mini S</t>
  </si>
  <si>
    <t>Счетчик воды Декаст ВКМ-20</t>
  </si>
  <si>
    <t>Счетчик воды Декаст ВКМ-20 ДГ2</t>
  </si>
  <si>
    <t>Счетчик воды Декаст ВКМ-20 mini S</t>
  </si>
  <si>
    <t>Счетчик воды Декаст ВСКМ-15 (110 мм, без кмч)</t>
  </si>
  <si>
    <t>Счетчик воды Декаст ВСКМ-15 (110 мм, с кмч)</t>
  </si>
  <si>
    <t>Счетчик воды Декаст ВСКМ-15 (110 мм, с кмч с ОК)</t>
  </si>
  <si>
    <t>Счетчик воды Декаст ВСКМ-15 (80 мм, без кмч)</t>
  </si>
  <si>
    <t>Счетчик воды Декаст ВСКМ-15 (80 мм, с кмч)</t>
  </si>
  <si>
    <t>Счетчик воды Декаст ВСКМ-15 (80 мм, с кмч с ОК)</t>
  </si>
  <si>
    <t>Счетчик воды Декаст ВСКМ-15 ДГ2 (110 мм, без кмч)</t>
  </si>
  <si>
    <t>Счетчик воды Декаст ВСКМ-15 ДГ2 (110 мм)</t>
  </si>
  <si>
    <t>Счетчик воды Декаст ВСКМ-15 ДГ2 (110 мм, с кмч с ОК)</t>
  </si>
  <si>
    <t>Счетчик воды Декаст ВСКМ-15 ДГ2 (80 мм, без кмч)</t>
  </si>
  <si>
    <t>Счетчик воды Декаст ВСКМ-15 ДГ2 (80 мм)</t>
  </si>
  <si>
    <t>Счетчик воды Декаст ВСКМ-15 ДГ2 (80 мм, с кмч с ОК)</t>
  </si>
  <si>
    <t>Счетчик воды Декаст ВСКМ-15 ДГ2 (80 мм, 1 л/имп, без кмч)</t>
  </si>
  <si>
    <t>Счетчик воды Декаст ВСКМ-15 ДГ2 (80 мм, 1 л/имп)</t>
  </si>
  <si>
    <t>Счетчик воды Декаст ОСВУ-15 (без кмч)</t>
  </si>
  <si>
    <t>Счетчик воды Декаст ОСВУ-15 (с кмч)</t>
  </si>
  <si>
    <t>Счетчик воды Декаст ОСВУ-15 (110 мм, с кмч с ОК)</t>
  </si>
  <si>
    <t>Счетчик воды Декаст ВСКМ-20</t>
  </si>
  <si>
    <t>Счетчик воды Декаст ВСКМ-20 ДГ2</t>
  </si>
  <si>
    <t>Счетчик воды Декаст ОСВХ-15 "НЕПТУН" Класс "С" ДГ2 (110 мм)</t>
  </si>
  <si>
    <t>Счетчик воды Декаст ОСВХ-20 "НЕПТУН" Класс "С" ДГ2</t>
  </si>
  <si>
    <t>20</t>
  </si>
  <si>
    <t>110</t>
  </si>
  <si>
    <t>130</t>
  </si>
  <si>
    <t>80</t>
  </si>
  <si>
    <t>Артикул производителя</t>
  </si>
  <si>
    <t xml:space="preserve">Диаметр условного прохода, мм </t>
  </si>
  <si>
    <t xml:space="preserve">Монтажная длина, мм </t>
  </si>
  <si>
    <t>71-25-01</t>
  </si>
  <si>
    <t>71-25-03</t>
  </si>
  <si>
    <t>71-25-08</t>
  </si>
  <si>
    <t>71-25-09</t>
  </si>
  <si>
    <t>72-25-01</t>
  </si>
  <si>
    <t>72-25-03</t>
  </si>
  <si>
    <t>72-25-266</t>
  </si>
  <si>
    <t>72-25-267</t>
  </si>
  <si>
    <t>72-25-299</t>
  </si>
  <si>
    <t>72-25-463</t>
  </si>
  <si>
    <t>72-25-67</t>
  </si>
  <si>
    <t>73-25-01</t>
  </si>
  <si>
    <t>73-25-03</t>
  </si>
  <si>
    <t>74-25-01</t>
  </si>
  <si>
    <t>74-25-03</t>
  </si>
  <si>
    <t>75-25-01</t>
  </si>
  <si>
    <t>75-25-03</t>
  </si>
  <si>
    <t>75-25-299</t>
  </si>
  <si>
    <t>76-25-01</t>
  </si>
  <si>
    <t>76-25-03</t>
  </si>
  <si>
    <t>76-25-05</t>
  </si>
  <si>
    <t>76-25-299</t>
  </si>
  <si>
    <t>76-25-304</t>
  </si>
  <si>
    <t>71-32-01</t>
  </si>
  <si>
    <t>71-32-03</t>
  </si>
  <si>
    <t>71-32-08</t>
  </si>
  <si>
    <t>71-32-09</t>
  </si>
  <si>
    <t>72-32-01</t>
  </si>
  <si>
    <t>72-32-03</t>
  </si>
  <si>
    <t>72-32-266</t>
  </si>
  <si>
    <t>72-32-267</t>
  </si>
  <si>
    <t>72-32-299</t>
  </si>
  <si>
    <t>72-32-463</t>
  </si>
  <si>
    <t>72-32-67</t>
  </si>
  <si>
    <t>73-32-01</t>
  </si>
  <si>
    <t>73-32-03</t>
  </si>
  <si>
    <t>74-32-01</t>
  </si>
  <si>
    <t>74-32-03</t>
  </si>
  <si>
    <t>75-32-01</t>
  </si>
  <si>
    <t>75-32-03</t>
  </si>
  <si>
    <t>75-32-299</t>
  </si>
  <si>
    <t>76-32-01</t>
  </si>
  <si>
    <t>76-32-03</t>
  </si>
  <si>
    <t>76-32-05</t>
  </si>
  <si>
    <t>76-32-299</t>
  </si>
  <si>
    <t>76-32-304</t>
  </si>
  <si>
    <t>71-40-08</t>
  </si>
  <si>
    <t>71-40-09</t>
  </si>
  <si>
    <t>72-40-01</t>
  </si>
  <si>
    <t>72-40-03</t>
  </si>
  <si>
    <t>72-40-266</t>
  </si>
  <si>
    <t>72-40-267</t>
  </si>
  <si>
    <t>72-40-299</t>
  </si>
  <si>
    <t>72-40-67</t>
  </si>
  <si>
    <t>73-40-01</t>
  </si>
  <si>
    <t>73-40-03</t>
  </si>
  <si>
    <t>74-40-01</t>
  </si>
  <si>
    <t>74-40-03</t>
  </si>
  <si>
    <t>Счетчик воды Декаст ВКМ-25</t>
  </si>
  <si>
    <t>Счетчик воды Декаст ВКМ-25 ДГ2</t>
  </si>
  <si>
    <t>Счетчик воды Декаст ВКМ М-25</t>
  </si>
  <si>
    <t>Счетчик воды Декаст ВКМ М-25 ДГ2</t>
  </si>
  <si>
    <t>Счетчик воды Декаст ВСКМ 90-25</t>
  </si>
  <si>
    <t>Счетчик воды Декаст ВСКМ 90-25 ДГ2</t>
  </si>
  <si>
    <t>Счетчик воды Декаст ВСКМ 90-25 "АТЛАНТ"</t>
  </si>
  <si>
    <t>Счетчик воды Декаст ВСКМ 90-25 "АТЛАНТ" ДГ1</t>
  </si>
  <si>
    <t>Счетчик воды Декаст ВСКМ 90-25 МИД И</t>
  </si>
  <si>
    <t>Счетчик воды Декаст ВСКМ 90-25 ДГ2 (1 л/имп)</t>
  </si>
  <si>
    <t>Счетчик воды Декаст ВСКМ 90Х-25 "АТЛАНТ"</t>
  </si>
  <si>
    <t>Счетчик воды Декаст ОСВУ-25</t>
  </si>
  <si>
    <t>Счетчик воды Декаст ОСВУ-25 ДГ1</t>
  </si>
  <si>
    <t>Счетчик воды Декаст ОСВХ-25</t>
  </si>
  <si>
    <t>Счетчик воды Декаст ОСВХ-25 ДГ1</t>
  </si>
  <si>
    <t>Счетчик воды Декаст ОСВУ-25 "НЕПТУН"</t>
  </si>
  <si>
    <t>Счетчик воды Декаст ОСВУ-25 "НЕПТУН" ДГ1</t>
  </si>
  <si>
    <t>Счетчик воды Декаст ОСВУ-25 "НЕПТУН" МИД И</t>
  </si>
  <si>
    <t>Счетчик воды Декаст ОСВХ-25 "НЕПТУН"</t>
  </si>
  <si>
    <t>Счетчик воды Декаст ОСВХ-25 "НЕПТУН" ДГ1</t>
  </si>
  <si>
    <t>Счетчик воды Декаст ОСВХ-25 "НЕПТУН" Класс "С" ДГ1</t>
  </si>
  <si>
    <t>Счетчик воды Декаст ОСВХ-25 "НЕПТУН" МИД И</t>
  </si>
  <si>
    <t>Счетчик воды Декаст ОСВХ-25 "НЕПТУН" Класс "С" МИД И</t>
  </si>
  <si>
    <t>Счетчик воды Декаст ВКМ-32</t>
  </si>
  <si>
    <t>Счетчик воды Декаст ВКМ-32 ДГ2</t>
  </si>
  <si>
    <t>Счетчик воды Декаст ВКМ М-32</t>
  </si>
  <si>
    <t>Счетчик воды Декаст ВКМ М-32 ДГ2</t>
  </si>
  <si>
    <t>Счетчик воды Декаст ВСКМ 90-32</t>
  </si>
  <si>
    <t>Счетчик воды Декаст ВСКМ 90-32 ДГ2</t>
  </si>
  <si>
    <t>Счетчик воды Декаст ВСКМ 90-32 "АТЛАНТ"</t>
  </si>
  <si>
    <t>Счетчик воды Декаст ВСКМ 90-32 "АТЛАНТ" ДГ1</t>
  </si>
  <si>
    <t>Счетчик воды Декаст ВСКМ 90-32 МИД И</t>
  </si>
  <si>
    <t>Счетчик воды Декаст ВСКМ 90-32 ДГ2 (1 л/имп)</t>
  </si>
  <si>
    <t>Счетчик воды Декаст ВСКМ 90Х-32 "АТЛАНТ"</t>
  </si>
  <si>
    <t>Счетчик воды Декаст ОСВУ-32</t>
  </si>
  <si>
    <t>Счетчик воды Декаст ОСВУ-32 ДГ1</t>
  </si>
  <si>
    <t>Счетчик воды Декаст ОСВХ-32</t>
  </si>
  <si>
    <t>Счетчик воды Декаст ОСВХ-32 ДГ1</t>
  </si>
  <si>
    <t>Счетчик воды Декаст ОСВУ-32 "НЕПТУН"</t>
  </si>
  <si>
    <t>Счетчик воды Декаст ОСВУ-32 "НЕПТУН" ДГ1</t>
  </si>
  <si>
    <t>Счетчик воды Декаст ОСВУ-32 "НЕПТУН" МИД И</t>
  </si>
  <si>
    <t>Счетчик воды Декаст ОСВХ-32 "НЕПТУН"</t>
  </si>
  <si>
    <t>Счетчик воды Декаст ОСВХ-32 "НЕПТУН" ДГ1</t>
  </si>
  <si>
    <t>Счетчик воды Декаст ОСВХ-32 "НЕПТУН" Класс "С" ДГ1</t>
  </si>
  <si>
    <t>Счетчик воды Декаст ОСВХ-32 "НЕПТУН" МИД И</t>
  </si>
  <si>
    <t>Счетчик воды Декаст ОСВХ-32 "НЕПТУН" Класс "С" МИД И</t>
  </si>
  <si>
    <t>Счетчик воды Декаст ВКМ М-40</t>
  </si>
  <si>
    <t>Счетчик воды Декаст ВКМ М-40 ДГ2</t>
  </si>
  <si>
    <t>Счетчик воды Декаст ВСКМ 90-40</t>
  </si>
  <si>
    <t>Счетчик воды Декаст ВСКМ 90-40 ДГ2</t>
  </si>
  <si>
    <t>Счетчик воды Декаст ВСКМ 90-40 "АТЛАНТ"</t>
  </si>
  <si>
    <t>Счетчик воды Декаст ВСКМ 90-40 "АТЛАНТ" ДГ1</t>
  </si>
  <si>
    <t>Счетчик воды Декаст ВСКМ 90-40 МИД И</t>
  </si>
  <si>
    <t>Счетчик воды Декаст ВСКМ 90Х-40 "АТЛАНТ"</t>
  </si>
  <si>
    <t>Счетчик воды Декаст ОСВУ-40</t>
  </si>
  <si>
    <t>Счетчик воды Декаст ОСВУ-40 ДГ1</t>
  </si>
  <si>
    <t>Счетчик воды Декаст ОСВХ-40</t>
  </si>
  <si>
    <t>Счетчик воды Декаст ОСВХ-40 ДГ1</t>
  </si>
  <si>
    <t>25</t>
  </si>
  <si>
    <t>32</t>
  </si>
  <si>
    <t>40</t>
  </si>
  <si>
    <t>160</t>
  </si>
  <si>
    <t>260</t>
  </si>
  <si>
    <t>170</t>
  </si>
  <si>
    <t>300</t>
  </si>
  <si>
    <t>200</t>
  </si>
  <si>
    <t>75-40-01</t>
  </si>
  <si>
    <t>75-40-03</t>
  </si>
  <si>
    <t>75-40-299</t>
  </si>
  <si>
    <t>76-40-01</t>
  </si>
  <si>
    <t>76-40-03</t>
  </si>
  <si>
    <t>76-40-05</t>
  </si>
  <si>
    <t>76-40-299</t>
  </si>
  <si>
    <t>76-40-304</t>
  </si>
  <si>
    <t>71-50-08</t>
  </si>
  <si>
    <t>71-50-09</t>
  </si>
  <si>
    <t>72-50-01</t>
  </si>
  <si>
    <t>72-50-03</t>
  </si>
  <si>
    <t>72-50-10</t>
  </si>
  <si>
    <t>72-50-11</t>
  </si>
  <si>
    <t>72-50-266</t>
  </si>
  <si>
    <t>72-50-267</t>
  </si>
  <si>
    <t>72-50-67</t>
  </si>
  <si>
    <t>72-50-299</t>
  </si>
  <si>
    <t>72-50-314</t>
  </si>
  <si>
    <t>72-50-463</t>
  </si>
  <si>
    <t>Счетчик воды Декаст ОСВУ-40 "НЕПТУН"</t>
  </si>
  <si>
    <t>Счетчик воды Декаст ОСВУ-40 "НЕПТУН" ДГ1</t>
  </si>
  <si>
    <t>Счетчик воды Декаст ОСВУ-40 "НЕПТУН" МИД И</t>
  </si>
  <si>
    <t>Счетчик воды Декаст ОСВХ-40 "НЕПТУН"</t>
  </si>
  <si>
    <t>Счетчик воды Декаст ОСВХ-40 "НЕПТУН" ДГ1</t>
  </si>
  <si>
    <t>Счетчик воды Декаст ОСВХ-40 "НЕПТУН" Класс "С" ДГ1</t>
  </si>
  <si>
    <t>Счетчик воды Декаст ОСВХ-40 "НЕПТУН" МИД И</t>
  </si>
  <si>
    <t>Счетчик воды Декаст ОСВХ-40 "НЕПТУН" Класс "С" МИД И</t>
  </si>
  <si>
    <t>Счетчик воды Декаст ВКМ М-50</t>
  </si>
  <si>
    <t>Счетчик воды Декаст ВКМ М-50 ДГ2</t>
  </si>
  <si>
    <t>Счетчик воды Декаст ВСКМ 90-50</t>
  </si>
  <si>
    <t>Счетчик воды Декаст ВСКМ 90-50 ДГ2</t>
  </si>
  <si>
    <t>Счетчик воды Декаст ВСКМ 90-50 Ф</t>
  </si>
  <si>
    <t>Счетчик воды Декаст ВСКМ 90-50 Ф ДГ2</t>
  </si>
  <si>
    <t>Счетчик воды Декаст ВСКМ 90-50 "АТЛАНТ"</t>
  </si>
  <si>
    <t>Счетчик воды Декаст ВСКМ 90-50 "АТЛАНТ" ДГ1</t>
  </si>
  <si>
    <t xml:space="preserve">Счетчик воды Декаст ВСКМ 90Х-50 "АТЛАНТ" </t>
  </si>
  <si>
    <t>Счетчик воды Декаст ВСКМ 90-50 МИД И</t>
  </si>
  <si>
    <t>Счетчик воды Декаст ВСКМ 90-50 Ф МИД И</t>
  </si>
  <si>
    <t>Счетчик воды Декаст ВСКМ 90-50 ДГ2 (1 л/имп)</t>
  </si>
  <si>
    <t>50</t>
  </si>
  <si>
    <t>190</t>
  </si>
  <si>
    <t>09-50-01</t>
  </si>
  <si>
    <t>09-50-03</t>
  </si>
  <si>
    <t>09-80-01</t>
  </si>
  <si>
    <t>09-80-03</t>
  </si>
  <si>
    <t>09-100-01</t>
  </si>
  <si>
    <t>09-100-03</t>
  </si>
  <si>
    <t>10-50-01</t>
  </si>
  <si>
    <t>10-50-464</t>
  </si>
  <si>
    <t>10-65-01</t>
  </si>
  <si>
    <t>10-65-464</t>
  </si>
  <si>
    <t>10-80-01</t>
  </si>
  <si>
    <t>10-80-464</t>
  </si>
  <si>
    <t>10-100-01</t>
  </si>
  <si>
    <t>10-100-464</t>
  </si>
  <si>
    <t>10-150-01</t>
  </si>
  <si>
    <t>10-150-03</t>
  </si>
  <si>
    <t>Счетчик холодной воды комбинированный СТВК 1 50/15 (IP68)</t>
  </si>
  <si>
    <t>Счетчик холодной воды комбинированный СТВК-1 50/15 ДГ (IP68)</t>
  </si>
  <si>
    <t>Счетчик холодной воды комбинированный СТВК 1 80/20 (IP68)</t>
  </si>
  <si>
    <t>Счетчик холодной воды комбинированный СТВК 1 80/20 ДГ (IP68)</t>
  </si>
  <si>
    <t>Счетчик холодной воды комбинированный СТВК 1 100/20 (IP68)</t>
  </si>
  <si>
    <t>Счетчик холодной воды комбинированный СТВК 1 100/20 ДГ (IP68)</t>
  </si>
  <si>
    <t>Счетчик холодной воды комбинированный СТВК 2 50/15</t>
  </si>
  <si>
    <t>Счетчик холодной воды комбинированный СТВК 2 50/15 ДГ (100/10 л/имп)</t>
  </si>
  <si>
    <t>Счетчик холодной воды комбинированный СТВК 2 65/20</t>
  </si>
  <si>
    <t>Счетчик холодной воды комбинированный СТВК 2 65/20 ДГ (100/10 л/имп)</t>
  </si>
  <si>
    <t>Счетчик холодной воды комбинированный СТВК 2 80/20</t>
  </si>
  <si>
    <t>Счетчик холодной воды комбинированный СТВК 2 80/20 ДГ (100/10 л/имп)</t>
  </si>
  <si>
    <t>Счетчик холодной воды комбинированный СТВК 2 100/20</t>
  </si>
  <si>
    <t>Счетчик холодной воды комбинированный СТВК 2 100/20 ДГ (100/10 л/имп)</t>
  </si>
  <si>
    <t>Счетчик холодной воды комбинированный СТВК 2 150/40</t>
  </si>
  <si>
    <t>Счетчик холодной воды комбинированный СТВК 2 150/40 ДГ</t>
  </si>
  <si>
    <t>100</t>
  </si>
  <si>
    <t>65</t>
  </si>
  <si>
    <t>150</t>
  </si>
  <si>
    <t>280</t>
  </si>
  <si>
    <t>370</t>
  </si>
  <si>
    <t>500</t>
  </si>
  <si>
    <t>78-50-01</t>
  </si>
  <si>
    <t>78-50-03</t>
  </si>
  <si>
    <t>711-50-01</t>
  </si>
  <si>
    <t>711-50-05</t>
  </si>
  <si>
    <t>711-50-304</t>
  </si>
  <si>
    <t>78-65-01</t>
  </si>
  <si>
    <t>78-65-03</t>
  </si>
  <si>
    <t>78-65-18</t>
  </si>
  <si>
    <t>78-65-19</t>
  </si>
  <si>
    <t>711-65-01</t>
  </si>
  <si>
    <t>711-65-05</t>
  </si>
  <si>
    <t>711-65-304</t>
  </si>
  <si>
    <t>78-80-01</t>
  </si>
  <si>
    <t>78-80-03</t>
  </si>
  <si>
    <t>78-80-18</t>
  </si>
  <si>
    <t>78-80-19</t>
  </si>
  <si>
    <t>711-80-01</t>
  </si>
  <si>
    <t>711-80-05</t>
  </si>
  <si>
    <t>711-80-304</t>
  </si>
  <si>
    <t>78-100-01</t>
  </si>
  <si>
    <t>78-100-03</t>
  </si>
  <si>
    <t>78-100-18</t>
  </si>
  <si>
    <t>78-100-19</t>
  </si>
  <si>
    <t>711-100-01</t>
  </si>
  <si>
    <t>711-100-05</t>
  </si>
  <si>
    <t>711-100-304</t>
  </si>
  <si>
    <t>78-150-01</t>
  </si>
  <si>
    <t>78-150-03</t>
  </si>
  <si>
    <t>711-150-01</t>
  </si>
  <si>
    <t>711-150-05</t>
  </si>
  <si>
    <t>711-150-304</t>
  </si>
  <si>
    <t>78-200-01</t>
  </si>
  <si>
    <t>78-200-03</t>
  </si>
  <si>
    <t>711-200-05</t>
  </si>
  <si>
    <t>711-200-304</t>
  </si>
  <si>
    <t>Счетчик воды Декаст СТВХ-50</t>
  </si>
  <si>
    <t>Счетчик воды Декаст СТВХ-50 ДГ1</t>
  </si>
  <si>
    <t>Счетчик воды Декаст СТВХ-50 "СТРИМ" Класс "С" (IP68)</t>
  </si>
  <si>
    <t>Счетчик воды Декаст СТВХ-50 "СТРИМ" Класс "С" ДГ2 (IP68)</t>
  </si>
  <si>
    <t>Счетчик воды Декаст СТВХ-50 "СТРИМ" Класс "С" МИД И (IP68)</t>
  </si>
  <si>
    <t>Счетчик воды Декаст СТВХ-65</t>
  </si>
  <si>
    <t>Счетчик воды Декаст СТВХ-65 ДГ1</t>
  </si>
  <si>
    <t>Счетчик воды Декаст СТВХ-65 УК (260 мм) (IP68)</t>
  </si>
  <si>
    <t>Счетчик воды Декаст СТВХ-65 УК ДГ1 (260 мм) (IP68)</t>
  </si>
  <si>
    <t>Счетчик воды Декаст СТВХ-65 "СТРИМ" Класс "С" (IP68)</t>
  </si>
  <si>
    <t>Счетчик воды Декаст СТВХ-65 "СТРИМ" Класс "С" ДГ2 (IP68)</t>
  </si>
  <si>
    <t>Счетчик воды Декаст СТВХ-65 "СТРИМ" Класс "С" МИД И (IP68)</t>
  </si>
  <si>
    <t>Счетчик воды Декаст СТВХ-80</t>
  </si>
  <si>
    <t>Счетчик воды Декаст СТВХ-80 ДГ1</t>
  </si>
  <si>
    <t>Счетчик воды Декаст СТВХ-80 УК (270 мм) (IP68)</t>
  </si>
  <si>
    <t>Счетчик воды Декаст СТВХ-80 УК ДГ1 (270 мм) (IP68)</t>
  </si>
  <si>
    <t>Счетчик воды Декаст СТВХ-80 "СТРИМ" Класс "С" (IP68)</t>
  </si>
  <si>
    <t>Счетчик воды Декаст СТВХ-80 "СТРИМ" Класс "С" ДГ2 (IP68)</t>
  </si>
  <si>
    <t>Счетчик воды Декаст СТВХ-80 "СТРИМ" Класс "С" МИД И (IP68)</t>
  </si>
  <si>
    <t>Счетчик воды Декаст СТВХ-100</t>
  </si>
  <si>
    <t>Счетчик воды Декаст СТВХ-100 ДГ1</t>
  </si>
  <si>
    <t>Счетчик воды Декаст СТВХ-100 УК (300 мм) (IP68)</t>
  </si>
  <si>
    <t>Счетчик воды Декаст СТВХ-100 УК ДГ1 (300 мм) (IP68)</t>
  </si>
  <si>
    <t>Счетчик воды Декаст СТВХ-100 "СТРИМ" Класс "С" (IP68)</t>
  </si>
  <si>
    <t>Счетчик воды Декаст СТВХ-100 "СТРИМ" Класс "С" ДГ2 (IP68)</t>
  </si>
  <si>
    <t>Счетчик воды Декаст СТВХ-100 "СТРИМ" Класс "С" МИД И (IP68)</t>
  </si>
  <si>
    <t>Счетчик воды Декаст СТВХ-150</t>
  </si>
  <si>
    <t>Счетчик воды Декаст СТВХ-150 ДГ1</t>
  </si>
  <si>
    <t>Счетчик воды Декаст СТВХ-150 "СТРИМ" Класс "С" (IP68)</t>
  </si>
  <si>
    <t>Счетчик воды Декаст СТВХ-150 "СТРИМ" Класс "С" ДГ2 (IP68)</t>
  </si>
  <si>
    <t>Счетчик воды Декаст СТВХ-150 "СТРИМ" Класс "С" МИД И (IP68)</t>
  </si>
  <si>
    <t>Счетчик воды Декаст СТВХ-200</t>
  </si>
  <si>
    <t>Счетчик воды Декаст СТВХ-200 ДГ1</t>
  </si>
  <si>
    <t>Счетчик воды Декаст СТВХ-200 "СТРИМ" Класс "С" ДГ2 (IP68)</t>
  </si>
  <si>
    <t>Счетчик воды Декаст СТВХ-200 "СТРИМ" Класс "С" МИД И (IP68)</t>
  </si>
  <si>
    <t>225</t>
  </si>
  <si>
    <t>270</t>
  </si>
  <si>
    <t>250</t>
  </si>
  <si>
    <t>350</t>
  </si>
  <si>
    <t>77-50-01</t>
  </si>
  <si>
    <t>77-50-03</t>
  </si>
  <si>
    <t>77-50-299</t>
  </si>
  <si>
    <t>77-65-01</t>
  </si>
  <si>
    <t>77-65-03</t>
  </si>
  <si>
    <t>77-65-299</t>
  </si>
  <si>
    <t>77-80-01</t>
  </si>
  <si>
    <t>77-80-03</t>
  </si>
  <si>
    <t>77-80-299</t>
  </si>
  <si>
    <t>77-100-01</t>
  </si>
  <si>
    <t>77-100-03</t>
  </si>
  <si>
    <t>77-100-299</t>
  </si>
  <si>
    <t>77-150-01</t>
  </si>
  <si>
    <t>77-150-03</t>
  </si>
  <si>
    <t>77-150-299</t>
  </si>
  <si>
    <t>77-200-01</t>
  </si>
  <si>
    <t>77-200-03</t>
  </si>
  <si>
    <t>77-200-299</t>
  </si>
  <si>
    <t>Счетчик воды Декаст СТВУ-50</t>
  </si>
  <si>
    <t>Счетчик воды Декаст СТВУ-50 ДГ1</t>
  </si>
  <si>
    <t>Счетчик воды Декаст СТВУ-50 МИД И (IP68)</t>
  </si>
  <si>
    <t>Счетчик воды Декаст СТВУ-65</t>
  </si>
  <si>
    <t>Счетчик воды Декаст СТВУ-65 ДГ1</t>
  </si>
  <si>
    <t>Счетчик воды Декаст СТВУ-65 МИД И (IP68)</t>
  </si>
  <si>
    <t>Счетчик воды Декаст СТВУ-80</t>
  </si>
  <si>
    <t>Счетчик воды Декаст СТВУ-80 ДГ1</t>
  </si>
  <si>
    <t>Счетчик воды Декаст СТВУ-80 МИД И (IP68)</t>
  </si>
  <si>
    <t>Счетчик воды Декаст СТВУ-100</t>
  </si>
  <si>
    <t>Счетчик воды Декаст СТВУ-100 ДГ1</t>
  </si>
  <si>
    <t>Счетчик воды Декаст СТВУ-100 МИД И (IP68)</t>
  </si>
  <si>
    <t>Счетчик воды Декаст СТВУ-150</t>
  </si>
  <si>
    <t>Счетчик воды Декаст СТВУ-150 ДГ1</t>
  </si>
  <si>
    <t>Счетчик воды Декаст СТВУ-150 МИД И (IP68)</t>
  </si>
  <si>
    <t>Счетчик воды Декаст СТВУ-200</t>
  </si>
  <si>
    <t>Счетчик воды Декаст СТВУ-200 ДГ1</t>
  </si>
  <si>
    <t>Счетчик воды Декаст СТВУ-200 МИД И (IP68)</t>
  </si>
  <si>
    <t>ДЕКАСТ - БЫТОВЫЕ СЧЕТЧИКИ ВОДЫ</t>
  </si>
  <si>
    <t>ДЕКАСТ - Промышленные комбинированные счетчики воды</t>
  </si>
  <si>
    <t>ДЕКАСТ - Промышленные счетчики воды</t>
  </si>
  <si>
    <t>ДЕКАСТ - ОБЩЕДОМОВЫЕ СЧЕТЧИКИ ВОДЫ</t>
  </si>
  <si>
    <t>СТВУ ПРОМЫШЛЕННЫЕ УНИВЕРСАЛЬНЫЕ СЧЕТЧИКИ ВОДЫ</t>
  </si>
  <si>
    <t>ВСХ 15-02</t>
  </si>
  <si>
    <t>ВСХ 15-03 композитный</t>
  </si>
  <si>
    <t>ВСХ 15-02 IP68</t>
  </si>
  <si>
    <t>ВСХH 15 класс С</t>
  </si>
  <si>
    <t>ВСХ 15-02 (80 мм)</t>
  </si>
  <si>
    <t>ВСХ 15-02 IP 68 (80 мм)</t>
  </si>
  <si>
    <t>ВСХд 15-02 (1л/имп)</t>
  </si>
  <si>
    <t>ВСХHд 15 класс С (1л/имп)</t>
  </si>
  <si>
    <t>ВСХд 15-03 композитный (1л/имп)</t>
  </si>
  <si>
    <t>ВСХд 15-02 IP68 (1л/имп)</t>
  </si>
  <si>
    <t>ВСХд 15-02 (80 мм) (1л/имп)</t>
  </si>
  <si>
    <t>ВСХд 15-02 IP68 (80 мм) (1л/имп)</t>
  </si>
  <si>
    <t>ВСХ 20</t>
  </si>
  <si>
    <t>ВСХ 20 IP68</t>
  </si>
  <si>
    <t>ВСХH 20 класс С</t>
  </si>
  <si>
    <t>ВСХд 20 (1л/имп)</t>
  </si>
  <si>
    <t>ВСХд 20 IP68 (1л/имп)</t>
  </si>
  <si>
    <t>ВСХHд 20 класс С (1л/имп)</t>
  </si>
  <si>
    <t>ТВМ</t>
  </si>
  <si>
    <t>В</t>
  </si>
  <si>
    <t>С</t>
  </si>
  <si>
    <t>50°C</t>
  </si>
  <si>
    <t>ВСГ 15-02</t>
  </si>
  <si>
    <t>ВСГ 15-03 композитный</t>
  </si>
  <si>
    <t>ВСГ 15-02 (80 мм)</t>
  </si>
  <si>
    <t>ВСГH 15 класс С</t>
  </si>
  <si>
    <t>ВСГд 15-02 (1л/имп)</t>
  </si>
  <si>
    <t>ВСГд 15-03 композитный (1л/имп)</t>
  </si>
  <si>
    <t>ВСГд 15-02 (80 мм) (1л/имп)</t>
  </si>
  <si>
    <t>ВСГHд 15 класс С (1л/имп)</t>
  </si>
  <si>
    <t>ВСТ-15 (1л/имп)</t>
  </si>
  <si>
    <t>ВСГ 20</t>
  </si>
  <si>
    <t>ВСГH 20 класс С</t>
  </si>
  <si>
    <t>ВСГд 20 (1л/имп)</t>
  </si>
  <si>
    <t>ВСГHд 20 класс С (1л/имп)</t>
  </si>
  <si>
    <t>ВСТ-20 (1л/имп)</t>
  </si>
  <si>
    <t>95°C</t>
  </si>
  <si>
    <t>ВСХH 25</t>
  </si>
  <si>
    <t>ВСХH 25 IP68</t>
  </si>
  <si>
    <t>ВСХH 25 класс С</t>
  </si>
  <si>
    <t>ВСХHд 25 (10л/имп)</t>
  </si>
  <si>
    <t>ВСХHд IP68 25 (10л/имп)</t>
  </si>
  <si>
    <t>ВСХHд 25 класс С (10л/имп)</t>
  </si>
  <si>
    <t>ВСХH 32</t>
  </si>
  <si>
    <t>ВСХH 32 IP68</t>
  </si>
  <si>
    <t>ВСХH 32  класс С</t>
  </si>
  <si>
    <t>ВСХHд 32 (10л/имп)</t>
  </si>
  <si>
    <t>ВСХHд 32 IP68 (10л/имп)</t>
  </si>
  <si>
    <t>ВСХHд 32  класс С (10л/имп)</t>
  </si>
  <si>
    <t>ВСХH 40</t>
  </si>
  <si>
    <t>ВСХH 40 IP68</t>
  </si>
  <si>
    <t>ВСХH 40 класс С</t>
  </si>
  <si>
    <t>ВСХHд 40 (100л/имп)</t>
  </si>
  <si>
    <t>ВСХHд 40 IP 68 (100л/имп)</t>
  </si>
  <si>
    <t>ВСХHд 40  класс С (100л/имп)</t>
  </si>
  <si>
    <t>ВСГH 25</t>
  </si>
  <si>
    <t>ВСТH 25 (10л/имп)</t>
  </si>
  <si>
    <t>ВСГH 32</t>
  </si>
  <si>
    <t>ВСТH 32 (10л/имп)</t>
  </si>
  <si>
    <t>ВСГH 40</t>
  </si>
  <si>
    <t>ВСТH 40 (100л/имп)</t>
  </si>
  <si>
    <t>МВСХ-25</t>
  </si>
  <si>
    <t>МВСХ-25 IP68</t>
  </si>
  <si>
    <t>МВСХд-25 (10л/имп)</t>
  </si>
  <si>
    <t>МВСХд-25 IP68 (10л/имп)</t>
  </si>
  <si>
    <t>МВСХд-25 класс С (10л/имп)</t>
  </si>
  <si>
    <t>МВСХд-25 класс С IP68 (10л/имп)</t>
  </si>
  <si>
    <t>МВСХ-32</t>
  </si>
  <si>
    <t>МВСХ-32 IP68</t>
  </si>
  <si>
    <t>МВСХд-32 (10л/имп)</t>
  </si>
  <si>
    <t>МВСХд-32 IP68 (10л/имп)</t>
  </si>
  <si>
    <t>МВСХд-32 класс С (10л/имп)</t>
  </si>
  <si>
    <t>МВСХд-32 класс С IP68 (10л/имп)</t>
  </si>
  <si>
    <t>МВСХ-40</t>
  </si>
  <si>
    <t>МВСХ-40 IP68</t>
  </si>
  <si>
    <t>МВСХд-40 (100л/имп)</t>
  </si>
  <si>
    <t>МВСХд-40 IP68 (100л/имп)</t>
  </si>
  <si>
    <t>МВСХд-40 класс С (100л/имп)</t>
  </si>
  <si>
    <t>МВСХд-40 класс С IP68 (100л/имп)</t>
  </si>
  <si>
    <t>ВМ</t>
  </si>
  <si>
    <t>МВСГ-25</t>
  </si>
  <si>
    <t>МВСТ-25 (10л/имп)</t>
  </si>
  <si>
    <t>МВСГ-32</t>
  </si>
  <si>
    <t>МВСТ-32 (10л/имп)</t>
  </si>
  <si>
    <t>МВСГ-40</t>
  </si>
  <si>
    <t>МВСТ-40 (100л/имп)</t>
  </si>
  <si>
    <t>120°C</t>
  </si>
  <si>
    <t>ВСХН 40</t>
  </si>
  <si>
    <t>ВСХН 40 IP68</t>
  </si>
  <si>
    <t>ТВСХ-01 40 IP68</t>
  </si>
  <si>
    <t>ВСХНд 40 (100л/имп)</t>
  </si>
  <si>
    <t>ВСХНд 40 IP68 (100л/имп)</t>
  </si>
  <si>
    <t>ТВСХд-01 40 IP68 (100л/имп)</t>
  </si>
  <si>
    <t>ВСХН 50</t>
  </si>
  <si>
    <t>ВСХН 50 IP68</t>
  </si>
  <si>
    <t>ТВСХ 50 IP68</t>
  </si>
  <si>
    <t>ТВСХ-01 50 IP68</t>
  </si>
  <si>
    <t>ВСХНд 50 (100л/имп)</t>
  </si>
  <si>
    <t>ВСХНд 50 IP68 (100л/имп)</t>
  </si>
  <si>
    <t>ТВСХд 50 IP68 (100л/имп)</t>
  </si>
  <si>
    <t>ТВСХд-01 50 IP68 (100л/имп)</t>
  </si>
  <si>
    <t>ВСХН 65</t>
  </si>
  <si>
    <t>ВСХН 65 IP68</t>
  </si>
  <si>
    <t>ТВСХ 65 IP68</t>
  </si>
  <si>
    <t>ТВСХ-01 65 IP68</t>
  </si>
  <si>
    <t>ВСХНд 65  (100л/имп)</t>
  </si>
  <si>
    <t>ВСХНд 65 IP68 (100л/имп)</t>
  </si>
  <si>
    <t>ТВСХд 65 IP68 (100л/имп)</t>
  </si>
  <si>
    <t>ТВСХд-01 65 IP68 (100л/имп)</t>
  </si>
  <si>
    <t>ВСХН 80</t>
  </si>
  <si>
    <t>ВСХН 80 IP68</t>
  </si>
  <si>
    <t>ТВСХ 80 IP68</t>
  </si>
  <si>
    <t>ТВСХ-01 80 IP68</t>
  </si>
  <si>
    <t>ВСХНд 80  (100л/имп)</t>
  </si>
  <si>
    <t>ВСХНд 80 IP68 (100л/имп)</t>
  </si>
  <si>
    <t>ТВСХд 80 IP68 (100л/имп)</t>
  </si>
  <si>
    <t>ТВСХд-01 80 IP68 (100л/имп)</t>
  </si>
  <si>
    <t>ТВСХд-01 80 IP68 (1000л/имп)</t>
  </si>
  <si>
    <t>ВСХН 100</t>
  </si>
  <si>
    <t>ВСХН 100 IP68</t>
  </si>
  <si>
    <t>ТВСХ 100 IP68</t>
  </si>
  <si>
    <t>ТВСХ-01 100 IP68</t>
  </si>
  <si>
    <t>ВСХНд 100 (100л/имп)</t>
  </si>
  <si>
    <t>ВСХНд 100 IP68 (100л/имп)</t>
  </si>
  <si>
    <t>ТВСХд 100 IP68 (100л/имп)</t>
  </si>
  <si>
    <t>ТВСХд-01 100 IP68 (100л/имп)</t>
  </si>
  <si>
    <t>ТВСХд-01 100 IP68 (1000л/имп)</t>
  </si>
  <si>
    <t>ВСХН 125</t>
  </si>
  <si>
    <t>ВСХН 125 IP68</t>
  </si>
  <si>
    <t>ТВСХ-01 125 IP68</t>
  </si>
  <si>
    <t>ВСХНд 125 (100л/имп)</t>
  </si>
  <si>
    <t>ВСХНд 125 IP68 (100л/имп)</t>
  </si>
  <si>
    <t>ТВСХд-01 125 IP68 (100л/имп)</t>
  </si>
  <si>
    <t>ВСХН 150</t>
  </si>
  <si>
    <t>ВСХН 150 IP68</t>
  </si>
  <si>
    <t>ТВСХ 150 IP68</t>
  </si>
  <si>
    <t>ТВСХ-01 150 IP68</t>
  </si>
  <si>
    <t>ВСХНд 150 (1000л/имп)</t>
  </si>
  <si>
    <t>ВСХНд 150 IP68 (1000л/имп)</t>
  </si>
  <si>
    <t>ТВСХд 150 IP68 (1000л/имп)</t>
  </si>
  <si>
    <t>ТВСХд-01 150 IP68 (1000л/имп)</t>
  </si>
  <si>
    <t>ВСХН 200</t>
  </si>
  <si>
    <t>ВСХН 200 IP68</t>
  </si>
  <si>
    <t>ТВСХ 200 IP68</t>
  </si>
  <si>
    <t>ТВСХ-01 200 IP68</t>
  </si>
  <si>
    <t>ВСХНд 200 (1000л/имп)</t>
  </si>
  <si>
    <t>ВСХНд 200 IP68 (1000л/имп)</t>
  </si>
  <si>
    <t>ТВСХд-01 200 IP68 (1000л/имп)</t>
  </si>
  <si>
    <t>ВСХН 250</t>
  </si>
  <si>
    <t>ВСХН 250 IP68</t>
  </si>
  <si>
    <t>ТВСХ-01 250 IP68</t>
  </si>
  <si>
    <t>ВСХНд 250 (1000л/имп)</t>
  </si>
  <si>
    <t>ВСХНд 250 IP68 (1000л/имп)</t>
  </si>
  <si>
    <t>ТВСХд-01 250 IP68 (10000л/имп)</t>
  </si>
  <si>
    <t>ВСГН 40</t>
  </si>
  <si>
    <t>ТВСГ-01 40</t>
  </si>
  <si>
    <t>ВСТН 40 (100л/имп)</t>
  </si>
  <si>
    <t>ТВСТ-01 40 (100л/имп)</t>
  </si>
  <si>
    <t>ВСГН 50</t>
  </si>
  <si>
    <t>ТВСГ-01 50</t>
  </si>
  <si>
    <t>ВСТН 50 (100л/имп)</t>
  </si>
  <si>
    <t>ТВСТ 50 (100л/имп)</t>
  </si>
  <si>
    <t>ТВСТ-01 50 (100л/имп)</t>
  </si>
  <si>
    <t>ВСГН 65</t>
  </si>
  <si>
    <t>ВСТН 65 (100л/имп)</t>
  </si>
  <si>
    <t>ТВСТ 65 (100л/имп)</t>
  </si>
  <si>
    <t>ТВСТ-01 65 (100л/имп)</t>
  </si>
  <si>
    <t>ВСГН 80</t>
  </si>
  <si>
    <t>ВСТН 80 (100л/имп)</t>
  </si>
  <si>
    <t>ТВСТ 80 (100л/имп)</t>
  </si>
  <si>
    <t>ТВСТ-01 80 (100л/имп)</t>
  </si>
  <si>
    <t>ТВСТ-01 80 (1000л/имп)</t>
  </si>
  <si>
    <t>ВСГН 100</t>
  </si>
  <si>
    <t>ВСТН 100 (100л/имп)</t>
  </si>
  <si>
    <t>ТВСТ 100 (100л/имп)</t>
  </si>
  <si>
    <t>ТВСТ-01 100 (100л/имп)</t>
  </si>
  <si>
    <t>ТВСТ-01 100 (1000л/имп)</t>
  </si>
  <si>
    <t>ВСГН 125</t>
  </si>
  <si>
    <t>ТВСГ-01 125</t>
  </si>
  <si>
    <t>ВСТН 125 (100л/имп)</t>
  </si>
  <si>
    <t>ТВСТ-01 125 (100л/имп)</t>
  </si>
  <si>
    <t>ВСГН 150</t>
  </si>
  <si>
    <t>ТВСГ-01 150</t>
  </si>
  <si>
    <t>ВСТН 150 (1000л/имп)</t>
  </si>
  <si>
    <t>ТВСТ 150 (1000л/имп)</t>
  </si>
  <si>
    <t>ТВСТ-01 150 (1000л/имп)</t>
  </si>
  <si>
    <t>ВСГН 200</t>
  </si>
  <si>
    <t>ТВСГ-01 200</t>
  </si>
  <si>
    <t>ВСТН 200 (1000л/имп)</t>
  </si>
  <si>
    <t>ТВСТ 200 (1000л/имп)</t>
  </si>
  <si>
    <t>ТВСТ-01 200 (1000л/имп)</t>
  </si>
  <si>
    <t>ВСГН 250</t>
  </si>
  <si>
    <t>ВСТН 250 (1000л/имп)</t>
  </si>
  <si>
    <t>ТВСТ-01 250 (10000л/имп)</t>
  </si>
  <si>
    <t>ВСХНК-50/ 20</t>
  </si>
  <si>
    <t>ВСХНК-50/ 20 IP68</t>
  </si>
  <si>
    <t>ВСХНКд-50/20 импульсный</t>
  </si>
  <si>
    <t>ВСХНКд-50/20 IP68 импульсный</t>
  </si>
  <si>
    <t>ВСХНК-65/20</t>
  </si>
  <si>
    <t>ВСХНК-65/20 IP68</t>
  </si>
  <si>
    <t>ВСХНКд-65/20 импульсный</t>
  </si>
  <si>
    <t>ВСХНКд-65/20 IP68 импульсный</t>
  </si>
  <si>
    <t>ВСХНК 80/20</t>
  </si>
  <si>
    <t>ВСХНК 80/20 IP68</t>
  </si>
  <si>
    <t>ВСХНКд-80/20 импульсный</t>
  </si>
  <si>
    <t>ВСХНКд-80/20 IP68 импульсный</t>
  </si>
  <si>
    <t>ВСХНК-100/20</t>
  </si>
  <si>
    <t>ВСХНК-100/20 IP68</t>
  </si>
  <si>
    <t>ВСХНКд-100/20 импульсный</t>
  </si>
  <si>
    <t>ВСХНКд-100/20 IP68 импульсный</t>
  </si>
  <si>
    <t>ВСХНК-150/40</t>
  </si>
  <si>
    <t>ВСХНК-150/40 IP68</t>
  </si>
  <si>
    <t>ВСХНКд-150/40 импульсный</t>
  </si>
  <si>
    <t>ВСХНКд-150/40 IP68 импульсный</t>
  </si>
  <si>
    <t>КВСХд 50/15 IP68 импульсный</t>
  </si>
  <si>
    <t>КВСХд 65/20 IP68 импульсный</t>
  </si>
  <si>
    <t>КВСХд 80/20 IP68 импульсный</t>
  </si>
  <si>
    <t>КВСХд 100/20 IP68 импульсный</t>
  </si>
  <si>
    <t>КВСХд 150/40 IP68 импульсный</t>
  </si>
  <si>
    <t>УТ-00041975</t>
  </si>
  <si>
    <t>УТ-00041974</t>
  </si>
  <si>
    <t>УТ-00041973</t>
  </si>
  <si>
    <t>УТ-00041972</t>
  </si>
  <si>
    <t>УТ-00041971</t>
  </si>
  <si>
    <t>УТ-00041969</t>
  </si>
  <si>
    <t>УТ-00041968</t>
  </si>
  <si>
    <t>УТ-00041967</t>
  </si>
  <si>
    <t>УТ-00041966</t>
  </si>
  <si>
    <t>УТ-00041965</t>
  </si>
  <si>
    <t>УТ-00041964</t>
  </si>
  <si>
    <t>УТ-00041963</t>
  </si>
  <si>
    <t>УТ-00041953</t>
  </si>
  <si>
    <t>УТ-00041952</t>
  </si>
  <si>
    <t>УТ-00041951</t>
  </si>
  <si>
    <t>УТ-00041950</t>
  </si>
  <si>
    <t>УТ-00041949</t>
  </si>
  <si>
    <t>УТ-00041948</t>
  </si>
  <si>
    <t>УТ-00041947</t>
  </si>
  <si>
    <t>УТ-00041945</t>
  </si>
  <si>
    <t>УТ-00039687</t>
  </si>
  <si>
    <t>УТ-00039686</t>
  </si>
  <si>
    <t>УТ-00039684</t>
  </si>
  <si>
    <t>УТ-00039682</t>
  </si>
  <si>
    <t>УТ-00039681</t>
  </si>
  <si>
    <t>УТ-00039679</t>
  </si>
  <si>
    <t>УТ-00039678</t>
  </si>
  <si>
    <t>УТ-00039677</t>
  </si>
  <si>
    <t>УТ-00039676</t>
  </si>
  <si>
    <t>УТ-00039673</t>
  </si>
  <si>
    <t>УТ-00039672</t>
  </si>
  <si>
    <t>УТ-00039671</t>
  </si>
  <si>
    <t>УТ-00039668</t>
  </si>
  <si>
    <t>УТ-00039666</t>
  </si>
  <si>
    <t>УТ-00039665</t>
  </si>
  <si>
    <t>УТ-00039664</t>
  </si>
  <si>
    <t>УТ-00039663</t>
  </si>
  <si>
    <t>УТ-00039661</t>
  </si>
  <si>
    <t>УТ-00039659</t>
  </si>
  <si>
    <t>УТ-00039657</t>
  </si>
  <si>
    <t>УТ-00039655</t>
  </si>
  <si>
    <t>УТ-00039653</t>
  </si>
  <si>
    <t>УТ-00039652</t>
  </si>
  <si>
    <t>УТ-00039651</t>
  </si>
  <si>
    <t>УТ-00039650</t>
  </si>
  <si>
    <t>УТ-00039649</t>
  </si>
  <si>
    <t>УТ-00039648</t>
  </si>
  <si>
    <t>УТ-00039647</t>
  </si>
  <si>
    <t>УТ-00039645</t>
  </si>
  <si>
    <t>УТ-00039642</t>
  </si>
  <si>
    <t>УТ-00039641</t>
  </si>
  <si>
    <t>УТ-00039640</t>
  </si>
  <si>
    <t>УТ-00039639</t>
  </si>
  <si>
    <t>УТ-00039638</t>
  </si>
  <si>
    <t>УТ-00039637</t>
  </si>
  <si>
    <t>УТ-00039634</t>
  </si>
  <si>
    <t>УТ-00039633</t>
  </si>
  <si>
    <t>УТ-00039632</t>
  </si>
  <si>
    <t>УТ-00039631</t>
  </si>
  <si>
    <t>УТ-00039630</t>
  </si>
  <si>
    <t>УТ-00039629</t>
  </si>
  <si>
    <t>УТ-00039628</t>
  </si>
  <si>
    <t>УТ-00039627</t>
  </si>
  <si>
    <t>УТ-00039626</t>
  </si>
  <si>
    <t>УТ-00039625</t>
  </si>
  <si>
    <t>УТ-00039624</t>
  </si>
  <si>
    <t>УТ-00039623</t>
  </si>
  <si>
    <t>УТ-00039622</t>
  </si>
  <si>
    <t>УТ-00039618</t>
  </si>
  <si>
    <t>УТ-00039617</t>
  </si>
  <si>
    <t>УТ-00039616</t>
  </si>
  <si>
    <t>УТ-00039615</t>
  </si>
  <si>
    <t>УТ-00039611</t>
  </si>
  <si>
    <t>УТ-00039610</t>
  </si>
  <si>
    <t>УТ-00039609</t>
  </si>
  <si>
    <t>УТ-00039608</t>
  </si>
  <si>
    <t>УТ-00039607</t>
  </si>
  <si>
    <t>УТ-00039605</t>
  </si>
  <si>
    <t>УТ-00039604</t>
  </si>
  <si>
    <t>УТ-00039603</t>
  </si>
  <si>
    <t>УТ-00039602</t>
  </si>
  <si>
    <t>УТ-00039601</t>
  </si>
  <si>
    <t>УТ-00039600</t>
  </si>
  <si>
    <t>УТ-00039599</t>
  </si>
  <si>
    <t>УТ-00039598</t>
  </si>
  <si>
    <t>УТ-00039597</t>
  </si>
  <si>
    <t>УТ-00039596</t>
  </si>
  <si>
    <t>УТ-00039595</t>
  </si>
  <si>
    <t>УТ-00039594</t>
  </si>
  <si>
    <t>УТ-00039593</t>
  </si>
  <si>
    <t>УТ-00039592</t>
  </si>
  <si>
    <t>УТ-00039591</t>
  </si>
  <si>
    <t>УТ-00039590</t>
  </si>
  <si>
    <t>УТ-00039589</t>
  </si>
  <si>
    <t>УТ-00039588</t>
  </si>
  <si>
    <t>УТ-00039587</t>
  </si>
  <si>
    <t>УТ-00039586</t>
  </si>
  <si>
    <t>УТ-00039585</t>
  </si>
  <si>
    <t>УТ-00039584</t>
  </si>
  <si>
    <t>УТ-00039583</t>
  </si>
  <si>
    <t>УТ-00039582</t>
  </si>
  <si>
    <t>УТ-00039560</t>
  </si>
  <si>
    <t>УТ-00039559</t>
  </si>
  <si>
    <t>УТ-00039558</t>
  </si>
  <si>
    <t>УТ-00039556</t>
  </si>
  <si>
    <t>УТ-00039555</t>
  </si>
  <si>
    <t>УТ-00039554</t>
  </si>
  <si>
    <t>УТ-00039553</t>
  </si>
  <si>
    <t>УТ-00039552</t>
  </si>
  <si>
    <t>УТ-00039551</t>
  </si>
  <si>
    <t>УТ-00039550</t>
  </si>
  <si>
    <t>УТ-00039548</t>
  </si>
  <si>
    <t>УТ-00039546</t>
  </si>
  <si>
    <t>УТ-00039544</t>
  </si>
  <si>
    <t>УТ-00039543</t>
  </si>
  <si>
    <t>УТ-00039542</t>
  </si>
  <si>
    <t>УТ-00039541</t>
  </si>
  <si>
    <t>УТ-00039519</t>
  </si>
  <si>
    <t>УТ-00039518</t>
  </si>
  <si>
    <t>УТ-00039517</t>
  </si>
  <si>
    <t>УТ-00039444</t>
  </si>
  <si>
    <t>УТ-00039431</t>
  </si>
  <si>
    <t>00-00198647</t>
  </si>
  <si>
    <t>00-00198646</t>
  </si>
  <si>
    <t>00-00198645</t>
  </si>
  <si>
    <t>00-00198643</t>
  </si>
  <si>
    <t>00-00198638</t>
  </si>
  <si>
    <t>00-00198637</t>
  </si>
  <si>
    <t>00-00198636</t>
  </si>
  <si>
    <t>00-00198635</t>
  </si>
  <si>
    <t>00-00198634</t>
  </si>
  <si>
    <t>00-00198633</t>
  </si>
  <si>
    <t>00-00198623</t>
  </si>
  <si>
    <t>00-00198621</t>
  </si>
  <si>
    <t>00-00198620</t>
  </si>
  <si>
    <t>00-00198619</t>
  </si>
  <si>
    <t>00-00198618</t>
  </si>
  <si>
    <t>00-00198617</t>
  </si>
  <si>
    <t>00-00198616</t>
  </si>
  <si>
    <t>00-00198615</t>
  </si>
  <si>
    <t>00-00198614</t>
  </si>
  <si>
    <t>00-00198613</t>
  </si>
  <si>
    <t>00-00198612</t>
  </si>
  <si>
    <t>00-00198611</t>
  </si>
  <si>
    <t>00-00198610</t>
  </si>
  <si>
    <t>00-00196131</t>
  </si>
  <si>
    <t>00-00196130</t>
  </si>
  <si>
    <t>00-00196129</t>
  </si>
  <si>
    <t>00-00196128</t>
  </si>
  <si>
    <t>00-00196127</t>
  </si>
  <si>
    <t>00-00196126</t>
  </si>
  <si>
    <t>00-00196125</t>
  </si>
  <si>
    <t>00-00196124</t>
  </si>
  <si>
    <t>00-00196123</t>
  </si>
  <si>
    <t>00-00196122</t>
  </si>
  <si>
    <t>00-00196121</t>
  </si>
  <si>
    <t>00-00196120</t>
  </si>
  <si>
    <t>00-00196119</t>
  </si>
  <si>
    <t>00-00196118</t>
  </si>
  <si>
    <t>00-00196117</t>
  </si>
  <si>
    <t>00-00196116</t>
  </si>
  <si>
    <t>00-00196115</t>
  </si>
  <si>
    <t>00-00196114</t>
  </si>
  <si>
    <t>00-00196113</t>
  </si>
  <si>
    <t>00-00196112</t>
  </si>
  <si>
    <t>00-00196111</t>
  </si>
  <si>
    <t>00-00196110</t>
  </si>
  <si>
    <t>00-00196109</t>
  </si>
  <si>
    <t>00-00196108</t>
  </si>
  <si>
    <t>00-00181817</t>
  </si>
  <si>
    <t>00-00181302</t>
  </si>
  <si>
    <t>00-00181301</t>
  </si>
  <si>
    <t>00-00181300</t>
  </si>
  <si>
    <t>00-00181299</t>
  </si>
  <si>
    <t>00-00181298</t>
  </si>
  <si>
    <t>00-00181297</t>
  </si>
  <si>
    <t>00-00181296</t>
  </si>
  <si>
    <t>00-00181295</t>
  </si>
  <si>
    <t>00-00181294</t>
  </si>
  <si>
    <t>00-00181293</t>
  </si>
  <si>
    <t>00-00181292</t>
  </si>
  <si>
    <t>00-00181291</t>
  </si>
  <si>
    <t>00-00181290</t>
  </si>
  <si>
    <t>00-00181289</t>
  </si>
  <si>
    <t>00-00181288</t>
  </si>
  <si>
    <t>00-00181287</t>
  </si>
  <si>
    <t>00-00181286</t>
  </si>
  <si>
    <t>00-00181285</t>
  </si>
  <si>
    <t>00-00181284</t>
  </si>
  <si>
    <t>00-00181283</t>
  </si>
  <si>
    <t>00-00181282</t>
  </si>
  <si>
    <t>00-00181281</t>
  </si>
  <si>
    <t>00-00181280</t>
  </si>
  <si>
    <t>00-00181279</t>
  </si>
  <si>
    <t>00-00181278</t>
  </si>
  <si>
    <t>00-00181277</t>
  </si>
  <si>
    <t>00-00181276</t>
  </si>
  <si>
    <t>00-00181275</t>
  </si>
  <si>
    <t>00-00181274</t>
  </si>
  <si>
    <t>00-00181273</t>
  </si>
  <si>
    <t>00-00181272</t>
  </si>
  <si>
    <t>00-00181271</t>
  </si>
  <si>
    <t>00-00181270</t>
  </si>
  <si>
    <t>00-00181269</t>
  </si>
  <si>
    <t>00-00181268</t>
  </si>
  <si>
    <t>00-00181267</t>
  </si>
  <si>
    <t>00-00181266</t>
  </si>
  <si>
    <t>00-00039425</t>
  </si>
  <si>
    <t>00-00039424</t>
  </si>
  <si>
    <t>00-00039423</t>
  </si>
  <si>
    <t>00-00039384</t>
  </si>
  <si>
    <t>00-00039383</t>
  </si>
  <si>
    <t>00-00039382</t>
  </si>
  <si>
    <t>00-00035030</t>
  </si>
  <si>
    <t>МВСГд-40 (100л/имп)</t>
  </si>
  <si>
    <t>МВСГд-32 (10л/имп)</t>
  </si>
  <si>
    <t>МВСГд-25 (10л/имп)</t>
  </si>
  <si>
    <t>00-00203106</t>
  </si>
  <si>
    <t>Код товара</t>
  </si>
  <si>
    <t>Произв.</t>
  </si>
  <si>
    <t>Qn,m3/h</t>
  </si>
  <si>
    <t>Tmax, С</t>
  </si>
  <si>
    <t xml:space="preserve">     НАИМЕНОВАНИЕ</t>
  </si>
  <si>
    <t>DN40-250 ТУРБИННЫЕ СЧЕТЧИКИ</t>
  </si>
  <si>
    <t xml:space="preserve">DN25-40 Крыльчатые одноструйные счётчики воды </t>
  </si>
  <si>
    <t>DN15-20 - Крыльчатые одноструйные счётчики воды</t>
  </si>
  <si>
    <t>ДЛЯ ХОЛОДНОЙ ВОДЫ</t>
  </si>
  <si>
    <t>ДЛЯ ГОРЯЧЕЙ ВОДЫ</t>
  </si>
  <si>
    <t>DN25-40 Крыльчатые многоструйные счётчики</t>
  </si>
  <si>
    <t>КОМБИНИРОВАННЫЕ СЧЕТЧИКИ ВОДЫ - ТЕПЛОВОДОМЕР</t>
  </si>
  <si>
    <t>КОМБИНИРОВАННЫЕ СЧЕТЧИКИ ВОДЫ - ВОДОМЕР</t>
  </si>
  <si>
    <t>ВКГ (ТЕПЛОКОМ) - вычислители количества газа</t>
  </si>
  <si>
    <t>СПГ (ЛОГИКА) - корректоры газа</t>
  </si>
  <si>
    <t>ТВ7М (Термотроник) Тепловычислители  + опции, доп. оборудование.</t>
  </si>
  <si>
    <t>СПТ (НПФ Логика) Тепловычислители + накопители, адаптеры</t>
  </si>
  <si>
    <t>ВКТ (Теплоком) Тепловычислители  +  опции, доп. оборудование</t>
  </si>
  <si>
    <t>ТМК (Промприбор) Тепловычислители + опции, доп. оборудование.</t>
  </si>
  <si>
    <t>ЭЛЬФ/КАРАТ-306/КАРАТ-307/КАРАТ-308 (Уралтехнология) + модули</t>
  </si>
  <si>
    <t>ТСРВ (Взлет) Тепловычислители + опции</t>
  </si>
  <si>
    <t>ДЕКАСТ - счетчики ВКМ, ВСКМ, ОСВУ, ОСВХ, СТВК</t>
  </si>
  <si>
    <t>ТЕПЛОВОДОМЕР - счетчики ВСХ(д), ВСГ(д), ВСТ, ВСХНК</t>
  </si>
  <si>
    <t xml:space="preserve">Вычислитель кол-ва газа ВКГ-2 </t>
  </si>
  <si>
    <t>Вычислитель кол-ва газа ВКГ-3Т</t>
  </si>
  <si>
    <t>Сетевой ист. питания
+ батарея АА</t>
  </si>
  <si>
    <t>Подключаемые датчики:
-8 преобразователей с выходным сигналом тока 0-5, 0-20 или 4-20 мА;
-8 преобразователя с выходным числоимпульсным или частотным сигналом;
-8 термопреобразователя сопротивления с характеристикой Pt100, Pt50, 100П, 50П, 100М, 50М. Электропитание 12 ± 2 В, потребляемый ток 300 мА.</t>
  </si>
  <si>
    <t>Подключаемые датчики:
-8 преобразователей с выходным сигналом тока 0-5, 0-20 или 4-20 мА;
-4 преобразователя с выходным числоимпульсным или частотным сигналом;
-4 термопреобразователя сопротивления с характеристикой Pt100, Pt50, 100П, 50П, 100М, 50М. Электропитание 10–15 В, потребляемый ток 150 мА.</t>
  </si>
  <si>
    <t>Подключаемые датчики:
- 6 преобразователей расхода с импульсным выходом частотой до 1000 Гц,
- 6 преобразователей давления с выходным сигналом 4 - 20 мА,
- 6 преобразователей температуры с характеристиками 100П, Pt100, 100M.
Встроенная батарея 3,6 В (замена без демонтажа прибора) и/или внешнее 12 В</t>
  </si>
  <si>
    <t>Подключаемые датчики:
- 3 преобразователя расхода с импульсным выходом частотой до 1000 Гц,
- 3 преобразователя давления с выходным сигналом 4 - 20 мА,
- 3 преобразователя температуры с характеристиками 100П, Pt100, 100M.
Питание Встроенная бат. 3,6 В (замена без демонтажа прибора) и/или внешнее 12 В</t>
  </si>
  <si>
    <t>ТЕПЛОВОДОМЕР</t>
  </si>
  <si>
    <t>00-00000002</t>
  </si>
  <si>
    <t>СПТ944 Тепловычислитель</t>
  </si>
  <si>
    <t>шт</t>
  </si>
  <si>
    <t>00-00000006</t>
  </si>
  <si>
    <t>РС32-30-А-Ф1 Расходомер Питерфлоу РС, класс А, фланцы (-Ф1), нержавеющий сплав</t>
  </si>
  <si>
    <t>00-00000008</t>
  </si>
  <si>
    <t>РС32-30-А-С Расходомер Питерфлоу РС, класс А, сэндвич (-С)</t>
  </si>
  <si>
    <t>00-00034898</t>
  </si>
  <si>
    <t>КАРАТ-306 (3V3T3P) Тепловычислитель</t>
  </si>
  <si>
    <t>00-00034903</t>
  </si>
  <si>
    <t>ЭРСВ-440Л В Ду15</t>
  </si>
  <si>
    <t>00-00034904</t>
  </si>
  <si>
    <t>РС50-72-А-Ф1 Расходомер Питерфлоу РС, класс А, фланцы (-Ф1), нержавеющий сплав</t>
  </si>
  <si>
    <t>00-00034979</t>
  </si>
  <si>
    <t>ЭРСВ-440Л В Ду50</t>
  </si>
  <si>
    <t>00-00034990</t>
  </si>
  <si>
    <t>Монтажная вставка Карат-520 Ду20</t>
  </si>
  <si>
    <t>00-00035025</t>
  </si>
  <si>
    <t>ЭРСВ-440Ф В Ду50</t>
  </si>
  <si>
    <t>00-00035026</t>
  </si>
  <si>
    <t>ЭРСВ-440Ф В Ду40</t>
  </si>
  <si>
    <t>00-00035028</t>
  </si>
  <si>
    <t>СПТ941.20 Тепловычислитель</t>
  </si>
  <si>
    <t>00-00035029</t>
  </si>
  <si>
    <t>СПГ742 Корректор газа</t>
  </si>
  <si>
    <t>ВСХН 25</t>
  </si>
  <si>
    <t>00-00035040</t>
  </si>
  <si>
    <t>РС80-90-В-Ф Расходомер Питерфлоу РС, класс В, фланцы (-Ф)</t>
  </si>
  <si>
    <t>00-00039290</t>
  </si>
  <si>
    <t>Имитатор габаритный ИПФ ду 150</t>
  </si>
  <si>
    <t>00-00039291</t>
  </si>
  <si>
    <t>Имитатор габаритный ИПФ ду 40</t>
  </si>
  <si>
    <t>00-00039292</t>
  </si>
  <si>
    <t>Имитатор габаритный ИПФ ду 50</t>
  </si>
  <si>
    <t>00-00039293</t>
  </si>
  <si>
    <t>Имитатор габаритный ИПФ ду 65</t>
  </si>
  <si>
    <t>00-00039294</t>
  </si>
  <si>
    <t>Монтажная вставка МФ-10- 20</t>
  </si>
  <si>
    <t>00-00039295</t>
  </si>
  <si>
    <t>Монтажная вставка МФ-10- 32</t>
  </si>
  <si>
    <t>00-00039297</t>
  </si>
  <si>
    <t>Монтажная вставка МФ-2- 20</t>
  </si>
  <si>
    <t>00-00039298</t>
  </si>
  <si>
    <t>Монтажная вставка МФ-2- 25</t>
  </si>
  <si>
    <t>00-00039299</t>
  </si>
  <si>
    <t>Монтажная вставка МФ-2- 32</t>
  </si>
  <si>
    <t>00-00039300</t>
  </si>
  <si>
    <t>Монтажная вставка МФ-2- 40</t>
  </si>
  <si>
    <t>00-00039301</t>
  </si>
  <si>
    <t>Монтажная вставка МФ-2- 50</t>
  </si>
  <si>
    <t>00-00039302</t>
  </si>
  <si>
    <t>Монтажная вставка МФ-5- 15</t>
  </si>
  <si>
    <t>00-00039303</t>
  </si>
  <si>
    <t>Монтажная вставка МФ-5- 20</t>
  </si>
  <si>
    <t>00-00039304</t>
  </si>
  <si>
    <t>Монтажная вставка МФ-5- 25</t>
  </si>
  <si>
    <t>00-00039305</t>
  </si>
  <si>
    <t>Монтажная вставка МФ-5- 32</t>
  </si>
  <si>
    <t>00-00039306</t>
  </si>
  <si>
    <t>Монтажная вставка МФ-5- 40</t>
  </si>
  <si>
    <t>00-00039307</t>
  </si>
  <si>
    <t>Монтажная вставка МФ-5- 50</t>
  </si>
  <si>
    <t>00-00039308</t>
  </si>
  <si>
    <t>Монтажная вставка МФ-5- 65</t>
  </si>
  <si>
    <t>00-00039309</t>
  </si>
  <si>
    <t>Монтажная вставка МФ-5- 80</t>
  </si>
  <si>
    <t>00-00039310</t>
  </si>
  <si>
    <t>Монтажная вставка МФ-5-100</t>
  </si>
  <si>
    <t>00-00039311</t>
  </si>
  <si>
    <t>Монтажная вставка МФ-5-150</t>
  </si>
  <si>
    <t>00-00039312</t>
  </si>
  <si>
    <t>Монтажная вставка МФ-5-200</t>
  </si>
  <si>
    <t>00-00039322</t>
  </si>
  <si>
    <t>Имитатор габаритный ИП-100С</t>
  </si>
  <si>
    <t>00-00039323</t>
  </si>
  <si>
    <t>Имитатор габаритный ИП-20С</t>
  </si>
  <si>
    <t>00-00039324</t>
  </si>
  <si>
    <t>Имитатор габаритный ИП-32С</t>
  </si>
  <si>
    <t>00-00039325</t>
  </si>
  <si>
    <t>Имитатор габаритный ИП-50С</t>
  </si>
  <si>
    <t>00-00039326</t>
  </si>
  <si>
    <t>Имитатор габаритный ИП-80С</t>
  </si>
  <si>
    <t>00-00039327</t>
  </si>
  <si>
    <t>Монтажный комплект №2 к ПРЭМ Ду 100 (ГП)</t>
  </si>
  <si>
    <t>00-00039328</t>
  </si>
  <si>
    <t>Монтажный комплект №2 к ПРЭМ Ду 20 (ГП)</t>
  </si>
  <si>
    <t>00-00039329</t>
  </si>
  <si>
    <t>Монтажный комплект №2 к ПРЭМ Ду 32 (ГП)</t>
  </si>
  <si>
    <t>00-00039330</t>
  </si>
  <si>
    <t>Монтажный комплект №2 к ПРЭМ Ду 50 (ГП)</t>
  </si>
  <si>
    <t>00-00039331</t>
  </si>
  <si>
    <t>Монтажный комплект №2 к ПРЭМ Ду 80 (ГП)</t>
  </si>
  <si>
    <t>00-00039332</t>
  </si>
  <si>
    <t>Монтажный комплект №2 к ПРЭМ-Ф Ду150 (ГП)</t>
  </si>
  <si>
    <t>00-00039333</t>
  </si>
  <si>
    <t>Монтажный комплект №2 к ПРЭМ-Ф Ду15, 20, 25 (ГП)</t>
  </si>
  <si>
    <t>00-00039334</t>
  </si>
  <si>
    <t>Монтажный комплект №2 к ПРЭМ-Ф Ду32,40 (ГП)</t>
  </si>
  <si>
    <t>00-00039335</t>
  </si>
  <si>
    <t>Монтажный комплект №2 к ПРЭМ-Ф Ду50,65 (ГП)</t>
  </si>
  <si>
    <t>00-00039336</t>
  </si>
  <si>
    <t>Монтажный комплект №3 к ПРЭМ Ду 100 (ГП)</t>
  </si>
  <si>
    <t>00-00039337</t>
  </si>
  <si>
    <t>Монтажный комплект №3 к ПРЭМ Ду 20 (ГП)</t>
  </si>
  <si>
    <t>00-00039338</t>
  </si>
  <si>
    <t>Монтажный комплект №3 к ПРЭМ Ду 32 (ГП)</t>
  </si>
  <si>
    <t>00-00039339</t>
  </si>
  <si>
    <t>Монтажный комплект №3 к ПРЭМ Ду 50 (ГП)</t>
  </si>
  <si>
    <t>00-00039340</t>
  </si>
  <si>
    <t>Монтажный комплект №3 к ПРЭМ Ду 80 (ГП)</t>
  </si>
  <si>
    <t>00-00039341</t>
  </si>
  <si>
    <t>Монтажный комплект №3 к ПРЭМ-Ф Ду100 (ГП)</t>
  </si>
  <si>
    <t>00-00039342</t>
  </si>
  <si>
    <t>Монтажный комплект №3 к ПРЭМ-Ф Ду150  (ГП)</t>
  </si>
  <si>
    <t>00-00039343</t>
  </si>
  <si>
    <t>Монтажный комплект №3 к ПРЭМ-Ф Ду40 (ГП)</t>
  </si>
  <si>
    <t>00-00039344</t>
  </si>
  <si>
    <t>Монтажный комплект №3 к ПРЭМ-Ф Ду50  (ГП)</t>
  </si>
  <si>
    <t>00-00039345</t>
  </si>
  <si>
    <t>Монтажный комплект №3 к ПРЭМ-Ф Ду65 (ГП)</t>
  </si>
  <si>
    <t>00-00039346</t>
  </si>
  <si>
    <t>Монтажный комплект №3 к ПРЭМ-Ф Ду80 (ГП)</t>
  </si>
  <si>
    <t>00-00039370</t>
  </si>
  <si>
    <t>Имитатор габаритный ИПФ ду 20</t>
  </si>
  <si>
    <t>00-00039371</t>
  </si>
  <si>
    <t>Имитатор габаритный ИПФ ду 32</t>
  </si>
  <si>
    <t>00-00039372</t>
  </si>
  <si>
    <t>Имитатор габаритный ИПФ ду 80</t>
  </si>
  <si>
    <t>00-00039373</t>
  </si>
  <si>
    <t>Монтажный комплект №2 к ПРЭМ-Ф Ду80 (ГП)</t>
  </si>
  <si>
    <t>00-00039374</t>
  </si>
  <si>
    <t>Монтажный комплект №3 к ПРЭМ-Ф Ду20 (ГП)</t>
  </si>
  <si>
    <t>00-00039375</t>
  </si>
  <si>
    <t>Монтажный комплект №3 к ПРЭМ-Ф Ду32 (ГП)</t>
  </si>
  <si>
    <t>ВСХН 40 (крыльчатый, резьбовой)</t>
  </si>
  <si>
    <t>00-00039391</t>
  </si>
  <si>
    <t>РС50-72-А-С Расходомер Питерфлоу РС, класс А, сэндвич (-С)</t>
  </si>
  <si>
    <t>00-00039417</t>
  </si>
  <si>
    <t>ВСТН 25 (10л/имп)</t>
  </si>
  <si>
    <t>00-00180157</t>
  </si>
  <si>
    <t>ПРЭМ-15 ГФ L0/-/F Кл. D</t>
  </si>
  <si>
    <t>00-00180159</t>
  </si>
  <si>
    <t>ПРЭМ-15 ГФ L0/-/F Кл. C1</t>
  </si>
  <si>
    <t>00-00180181</t>
  </si>
  <si>
    <t>ПРЭМ-15 ГФ L0/-/F Кл. B1</t>
  </si>
  <si>
    <t>00-00180193</t>
  </si>
  <si>
    <t>ПРЭМ-25 ГФ L0/-/F Кл. D</t>
  </si>
  <si>
    <t>00-00180195</t>
  </si>
  <si>
    <t>ПРЭМ-25 ГФ L0/-/F Кл. C1</t>
  </si>
  <si>
    <t>00-00180217</t>
  </si>
  <si>
    <t>ПРЭМ-25 ГФ L0/-/F Кл. B1</t>
  </si>
  <si>
    <t>00-00180229</t>
  </si>
  <si>
    <t>ПРЭМ-100 ГФ L0/-/F Кл. D</t>
  </si>
  <si>
    <t>00-00180231</t>
  </si>
  <si>
    <t>ПРЭМ-100 ГФ L0/-/F Кл. C1</t>
  </si>
  <si>
    <t>00-00180253</t>
  </si>
  <si>
    <t>ПРЭМ-100 ГФ L0/-/F Кл. B1</t>
  </si>
  <si>
    <t>00-00180265</t>
  </si>
  <si>
    <t>ПРЭМ-200 ГФ L0/-/F Кл. D</t>
  </si>
  <si>
    <t>00-00180267</t>
  </si>
  <si>
    <t>ПРЭМ-200 ГФ L0/-/F Кл. C1</t>
  </si>
  <si>
    <t>00-00180289</t>
  </si>
  <si>
    <t>ПРЭМ-200 ГФ L0/-/F Кл. B1</t>
  </si>
  <si>
    <t>00-00180301</t>
  </si>
  <si>
    <t>ПРЭМ-250 ГФ L0/-/F Кл. D</t>
  </si>
  <si>
    <t>00-00180303</t>
  </si>
  <si>
    <t>ПРЭМ-250 ГФ L0/-/F Кл. C1</t>
  </si>
  <si>
    <t>00-00180325</t>
  </si>
  <si>
    <t>ПРЭМ-250 ГФ L0/-/F Кл. B1</t>
  </si>
  <si>
    <t>00-00180337</t>
  </si>
  <si>
    <t>ПРЭМ-300 ГФ L0/-/F Кл. D</t>
  </si>
  <si>
    <t>00-00180339</t>
  </si>
  <si>
    <t>ПРЭМ-300 ГФ L0/-/F Кл. C1</t>
  </si>
  <si>
    <t>00-00180361</t>
  </si>
  <si>
    <t>ПРЭМ-300 ГФ L0/-/F Кл. B1</t>
  </si>
  <si>
    <t>00-00180442</t>
  </si>
  <si>
    <t>ПРЭМ-40 ГС L0/-/F Кл. D</t>
  </si>
  <si>
    <t>00-00180454</t>
  </si>
  <si>
    <t>ПРЭМ-40 ГС L0/-/F Кл. C1</t>
  </si>
  <si>
    <t>00-00180466</t>
  </si>
  <si>
    <t>ПРЭМ-40 ГС L0/-/F Кл. B1</t>
  </si>
  <si>
    <t>00-00180479</t>
  </si>
  <si>
    <t>ПРЭМ-65 ГС L0/-/F Кл. D</t>
  </si>
  <si>
    <t>00-00180491</t>
  </si>
  <si>
    <t>ПРЭМ-65 ГС L0/-/F Кл. C1</t>
  </si>
  <si>
    <t>00-00180503</t>
  </si>
  <si>
    <t>ПРЭМ-65 ГС L0/-/F Кл. B1</t>
  </si>
  <si>
    <t>00-00180518</t>
  </si>
  <si>
    <t>Имитатор габаритный ИПФ ду 100</t>
  </si>
  <si>
    <t>00-00180555</t>
  </si>
  <si>
    <t>00-00180560</t>
  </si>
  <si>
    <t>ЭРСВ-440Л В Ду65</t>
  </si>
  <si>
    <t>00-00180791</t>
  </si>
  <si>
    <t>00-00180792</t>
  </si>
  <si>
    <t>00-00180793</t>
  </si>
  <si>
    <t>00-00180794</t>
  </si>
  <si>
    <t>00-00180795</t>
  </si>
  <si>
    <t>00-00180796</t>
  </si>
  <si>
    <t>00-00180797</t>
  </si>
  <si>
    <t>00-00180798</t>
  </si>
  <si>
    <t>00-00180799</t>
  </si>
  <si>
    <t>00-00180807</t>
  </si>
  <si>
    <t>00-00180808</t>
  </si>
  <si>
    <t>00-00180809</t>
  </si>
  <si>
    <t>00-00180810</t>
  </si>
  <si>
    <t>00-00180811</t>
  </si>
  <si>
    <t>00-00180813</t>
  </si>
  <si>
    <t>00-00180814</t>
  </si>
  <si>
    <t>00-00180815</t>
  </si>
  <si>
    <t>00-00180816</t>
  </si>
  <si>
    <t>00-00180818</t>
  </si>
  <si>
    <t>00-00180823</t>
  </si>
  <si>
    <t>00-00180824</t>
  </si>
  <si>
    <t>00-00180825</t>
  </si>
  <si>
    <t>00-00180826</t>
  </si>
  <si>
    <t>00-00180827</t>
  </si>
  <si>
    <t>00-00180828</t>
  </si>
  <si>
    <t>00-00180829</t>
  </si>
  <si>
    <t>00-00180830</t>
  </si>
  <si>
    <t>00-00180831</t>
  </si>
  <si>
    <t>00-00180832</t>
  </si>
  <si>
    <t>00-00180833</t>
  </si>
  <si>
    <t>00-00180834</t>
  </si>
  <si>
    <t>00-00180835</t>
  </si>
  <si>
    <t>00-00180836</t>
  </si>
  <si>
    <t>00-00180837</t>
  </si>
  <si>
    <t>00-00180838</t>
  </si>
  <si>
    <t>ВСКМ 90Х-50 "АТЛАНТ"</t>
  </si>
  <si>
    <t>00-00180839</t>
  </si>
  <si>
    <t>00-00180840</t>
  </si>
  <si>
    <t>00-00180841</t>
  </si>
  <si>
    <t>00-00180842</t>
  </si>
  <si>
    <t>00-00180843</t>
  </si>
  <si>
    <t>00-00180844</t>
  </si>
  <si>
    <t>00-00180845</t>
  </si>
  <si>
    <t>00-00180846</t>
  </si>
  <si>
    <t>00-00180847</t>
  </si>
  <si>
    <t>00-00180848</t>
  </si>
  <si>
    <t>00-00180849</t>
  </si>
  <si>
    <t>00-00180850</t>
  </si>
  <si>
    <t>00-00180851</t>
  </si>
  <si>
    <t>00-00180852</t>
  </si>
  <si>
    <t>00-00180853</t>
  </si>
  <si>
    <t>00-00180854</t>
  </si>
  <si>
    <t>00-00180855</t>
  </si>
  <si>
    <t>00-00180856</t>
  </si>
  <si>
    <t>00-00180857</t>
  </si>
  <si>
    <t>00-00180858</t>
  </si>
  <si>
    <t>00-00180859</t>
  </si>
  <si>
    <t>00-00180860</t>
  </si>
  <si>
    <t>00-00180942</t>
  </si>
  <si>
    <t>00-00180943</t>
  </si>
  <si>
    <t>00-00180944</t>
  </si>
  <si>
    <t>00-00180945</t>
  </si>
  <si>
    <t>00-00180946</t>
  </si>
  <si>
    <t>00-00180947</t>
  </si>
  <si>
    <t>00-00180948</t>
  </si>
  <si>
    <t>00-00180949</t>
  </si>
  <si>
    <t>00-00180950</t>
  </si>
  <si>
    <t>00-00180951</t>
  </si>
  <si>
    <t>00-00180952</t>
  </si>
  <si>
    <t>00-00180953</t>
  </si>
  <si>
    <t>00-00180954</t>
  </si>
  <si>
    <t>00-00180955</t>
  </si>
  <si>
    <t>00-00180956</t>
  </si>
  <si>
    <t>00-00180957</t>
  </si>
  <si>
    <t>00-00180958</t>
  </si>
  <si>
    <t>00-00180959</t>
  </si>
  <si>
    <t>00-00180960</t>
  </si>
  <si>
    <t>00-00180962</t>
  </si>
  <si>
    <t>00-00180963</t>
  </si>
  <si>
    <t>00-00180964</t>
  </si>
  <si>
    <t>00-00180965</t>
  </si>
  <si>
    <t>00-00180966</t>
  </si>
  <si>
    <t>00-00180968</t>
  </si>
  <si>
    <t>00-00180969</t>
  </si>
  <si>
    <t>00-00180970</t>
  </si>
  <si>
    <t>00-00180971</t>
  </si>
  <si>
    <t>00-00180972</t>
  </si>
  <si>
    <t>00-00180973</t>
  </si>
  <si>
    <t>00-00180974</t>
  </si>
  <si>
    <t>00-00180975</t>
  </si>
  <si>
    <t>00-00180976</t>
  </si>
  <si>
    <t>00-00180977</t>
  </si>
  <si>
    <t>00-00180978</t>
  </si>
  <si>
    <t>00-00180979</t>
  </si>
  <si>
    <t>00-00180980</t>
  </si>
  <si>
    <t>00-00180981</t>
  </si>
  <si>
    <t>00-00180982</t>
  </si>
  <si>
    <t>00-00180984</t>
  </si>
  <si>
    <t>00-00180985</t>
  </si>
  <si>
    <t>00-00180986</t>
  </si>
  <si>
    <t>00-00180987</t>
  </si>
  <si>
    <t>00-00180988</t>
  </si>
  <si>
    <t>00-00180989</t>
  </si>
  <si>
    <t>00-00180990</t>
  </si>
  <si>
    <t>00-00180991</t>
  </si>
  <si>
    <t>00-00180992</t>
  </si>
  <si>
    <t>00-00180993</t>
  </si>
  <si>
    <t>00-00180994</t>
  </si>
  <si>
    <t>00-00180995</t>
  </si>
  <si>
    <t>00-00180996</t>
  </si>
  <si>
    <t>00-00180997</t>
  </si>
  <si>
    <t>00-00180998</t>
  </si>
  <si>
    <t>00-00180999</t>
  </si>
  <si>
    <t>00-00181000</t>
  </si>
  <si>
    <t>00-00181001</t>
  </si>
  <si>
    <t>00-00181002</t>
  </si>
  <si>
    <t>00-00181003</t>
  </si>
  <si>
    <t>00-00181004</t>
  </si>
  <si>
    <t>00-00181005</t>
  </si>
  <si>
    <t>00-00181006</t>
  </si>
  <si>
    <t>КВСХд 50/15 IP68 Импульсный</t>
  </si>
  <si>
    <t>КВСХд 65/20 IP68 Импульсный</t>
  </si>
  <si>
    <t>КВСХд 80/20 IP68 Импульсный</t>
  </si>
  <si>
    <t>КВСХд 100/20 IP68 Импульсный</t>
  </si>
  <si>
    <t>КВСХд 150/40 IP68 Импульсный</t>
  </si>
  <si>
    <t>00-00181318</t>
  </si>
  <si>
    <t>00-00181389</t>
  </si>
  <si>
    <t>ЭРСВ-440Л В Ду10</t>
  </si>
  <si>
    <t>00-00181390</t>
  </si>
  <si>
    <t>ЭРСВ-470Л В Ду15</t>
  </si>
  <si>
    <t>00-00181391</t>
  </si>
  <si>
    <t>ЭРСВ-470Л В Ду20</t>
  </si>
  <si>
    <t>00-00181392</t>
  </si>
  <si>
    <t>ЭРСВ-470Л В Ду25</t>
  </si>
  <si>
    <t>00-00181393</t>
  </si>
  <si>
    <t>ЭРСВ-470Л В Ду40</t>
  </si>
  <si>
    <t>00-00181394</t>
  </si>
  <si>
    <t>ЭРСВ-470Л В Ду50</t>
  </si>
  <si>
    <t>00-00181395</t>
  </si>
  <si>
    <t>ЭРСВ-470Л В Ду65</t>
  </si>
  <si>
    <t>00-00181396</t>
  </si>
  <si>
    <t>ЭРСВ-470Л В Ду80</t>
  </si>
  <si>
    <t>00-00181397</t>
  </si>
  <si>
    <t>ЭРСВ-470Л В Ду100</t>
  </si>
  <si>
    <t>00-00181398</t>
  </si>
  <si>
    <t>ЭРСВ-470Л В Ду150</t>
  </si>
  <si>
    <t>00-00181399</t>
  </si>
  <si>
    <t>ЭРСВ-440Ф В Ду20</t>
  </si>
  <si>
    <t>00-00181400</t>
  </si>
  <si>
    <t>ЭРСВ-440Ф В Ду65</t>
  </si>
  <si>
    <t>00-00181401</t>
  </si>
  <si>
    <t>ЭРСВ-440Ф В Ду80</t>
  </si>
  <si>
    <t>00-00181402</t>
  </si>
  <si>
    <t>ЭРСВ-440Ф В Ду100</t>
  </si>
  <si>
    <t>00-00181403</t>
  </si>
  <si>
    <t>ЭРСВ-440Ф В Ду200</t>
  </si>
  <si>
    <t>00-00181404</t>
  </si>
  <si>
    <t>ЭРСВ-470Ф В Ду20</t>
  </si>
  <si>
    <t>00-00181405</t>
  </si>
  <si>
    <t>ЭРСВ-470Ф В Ду25</t>
  </si>
  <si>
    <t>00-00181406</t>
  </si>
  <si>
    <t>ЭРСВ-470Ф В Ду32</t>
  </si>
  <si>
    <t>00-00181407</t>
  </si>
  <si>
    <t>ЭРСВ-470Ф В Ду40</t>
  </si>
  <si>
    <t>00-00181408</t>
  </si>
  <si>
    <t>ЭРСВ-470Ф В Ду50</t>
  </si>
  <si>
    <t>00-00181409</t>
  </si>
  <si>
    <t>ЭРСВ-470Ф В Ду65</t>
  </si>
  <si>
    <t>00-00181410</t>
  </si>
  <si>
    <t>ЭРСВ-470Ф В Ду80</t>
  </si>
  <si>
    <t>00-00181411</t>
  </si>
  <si>
    <t>ЭРСВ-470Ф В Ду100</t>
  </si>
  <si>
    <t>00-00181412</t>
  </si>
  <si>
    <t>ЭРСВ-470Ф В Ду150</t>
  </si>
  <si>
    <t>00-00181413</t>
  </si>
  <si>
    <t>ЭРСВ-470Ф В Ду200</t>
  </si>
  <si>
    <t>00-00181446</t>
  </si>
  <si>
    <t>Комплект арматуры к ЭРСВ №1 Ду100 (Ф)</t>
  </si>
  <si>
    <t>00-00181447</t>
  </si>
  <si>
    <t>Комплект арматуры к ЭРСВ №1 Ду200 (Ф)</t>
  </si>
  <si>
    <t>00-00181448</t>
  </si>
  <si>
    <t>Комплект арматуры к ЭРСВ №1 Ду25 (Л)</t>
  </si>
  <si>
    <t>00-00181691</t>
  </si>
  <si>
    <t>00-00181856</t>
  </si>
  <si>
    <t>00-00182374</t>
  </si>
  <si>
    <t>Имитатор габаритный ИПФ ду 25</t>
  </si>
  <si>
    <t>00-00182375</t>
  </si>
  <si>
    <t>Имитатор габаритный ИП-40С</t>
  </si>
  <si>
    <t>00-00182376</t>
  </si>
  <si>
    <t>Имитатор габаритный ИП-65С</t>
  </si>
  <si>
    <t>00-00182377</t>
  </si>
  <si>
    <t>Монтажный комплект №2 к ПРЭМ Ду 40, 65 (ГП)</t>
  </si>
  <si>
    <t>00-00182382</t>
  </si>
  <si>
    <t>Монтажный комплект №3 к ПРЭМ-Ф Ду15 (ГП)</t>
  </si>
  <si>
    <t>00-00196014</t>
  </si>
  <si>
    <t>00-00196019</t>
  </si>
  <si>
    <t>00-00196024</t>
  </si>
  <si>
    <t>00-00196032</t>
  </si>
  <si>
    <t>00-00196034</t>
  </si>
  <si>
    <t>00-00196040</t>
  </si>
  <si>
    <t>00-00196043</t>
  </si>
  <si>
    <t>00-00196045</t>
  </si>
  <si>
    <t>00-00196047</t>
  </si>
  <si>
    <t>00-00196049</t>
  </si>
  <si>
    <t>00-00196051</t>
  </si>
  <si>
    <t>00-00196053</t>
  </si>
  <si>
    <t>00-00196055</t>
  </si>
  <si>
    <t>00-00196057</t>
  </si>
  <si>
    <t>00-00196059</t>
  </si>
  <si>
    <t>00-00196061</t>
  </si>
  <si>
    <t>00-00196062</t>
  </si>
  <si>
    <t>00-00196065</t>
  </si>
  <si>
    <t>00-00196066</t>
  </si>
  <si>
    <t>00-00196067</t>
  </si>
  <si>
    <t>00-00196068</t>
  </si>
  <si>
    <t>00-00196069</t>
  </si>
  <si>
    <t>00-00196070</t>
  </si>
  <si>
    <t>00-00196081</t>
  </si>
  <si>
    <t>00-00196084</t>
  </si>
  <si>
    <t>00-00196086</t>
  </si>
  <si>
    <t>00-00196088</t>
  </si>
  <si>
    <t>00-00196090</t>
  </si>
  <si>
    <t>00-00196092</t>
  </si>
  <si>
    <t>00-00196094</t>
  </si>
  <si>
    <t>00-00196096</t>
  </si>
  <si>
    <t>00-00196098</t>
  </si>
  <si>
    <t>00-00196100</t>
  </si>
  <si>
    <t>00-00196102</t>
  </si>
  <si>
    <t>00-00196104</t>
  </si>
  <si>
    <t>00-00196106</t>
  </si>
  <si>
    <t>00-00196137</t>
  </si>
  <si>
    <t>ЭРСВ-470Ф В Ду300</t>
  </si>
  <si>
    <t>00-00196139</t>
  </si>
  <si>
    <t>Комплект арматуры к ЭРСВ №1 Ду50 (Л)</t>
  </si>
  <si>
    <t>00-00198723</t>
  </si>
  <si>
    <t xml:space="preserve">КАРАТ-307 (4V4T0P) (RS-485) Вычислитель </t>
  </si>
  <si>
    <t>00-00198724</t>
  </si>
  <si>
    <t>00-00198731</t>
  </si>
  <si>
    <t>Монтажный комплект №3 к ПРЭМ Ду 40 (ГП)</t>
  </si>
  <si>
    <t>00-00198732</t>
  </si>
  <si>
    <t>Монтажный комплект №3 к ПРЭМ Ду 65 (ГП)</t>
  </si>
  <si>
    <t>00-00198745</t>
  </si>
  <si>
    <t>ВЭПС-300-ПБ-2-01</t>
  </si>
  <si>
    <t>00-00198750</t>
  </si>
  <si>
    <t>Карат-520-25-1, резьбовое соединение</t>
  </si>
  <si>
    <t>00-00198751</t>
  </si>
  <si>
    <t>Карат-520-32-1, резьбовое соединение</t>
  </si>
  <si>
    <t>00-00198752</t>
  </si>
  <si>
    <t>Карат-520-40-1, резьбовое соединение</t>
  </si>
  <si>
    <t>00-00198753</t>
  </si>
  <si>
    <t>Карат-520-20-1, резьбовое соединение, реверс</t>
  </si>
  <si>
    <t>00-00198754</t>
  </si>
  <si>
    <t>Карат-520-25-1, резьбовое соединение, реверс</t>
  </si>
  <si>
    <t>00-00198755</t>
  </si>
  <si>
    <t>Карат-520-32-1, резьбовое соединение, реверс</t>
  </si>
  <si>
    <t>00-00198756</t>
  </si>
  <si>
    <t>Карат-520-40-1, резьбовое соединение, реверс</t>
  </si>
  <si>
    <t>ВСХНд 40 (100л/имп) (крыльчатый, резьбовой)</t>
  </si>
  <si>
    <t>УТ-00039439</t>
  </si>
  <si>
    <t>РС32-30-В-С Расходомер Питерфлоу РС, класс В, сэндвич (-С)</t>
  </si>
  <si>
    <t>УТ-00039448</t>
  </si>
  <si>
    <t>СПГ761.2 Корректор газа</t>
  </si>
  <si>
    <t>УТ-00039452</t>
  </si>
  <si>
    <t>РС32-15-А-С Расходомер Питерфлоу РС, класс А, сэндвич (-С)</t>
  </si>
  <si>
    <t>УТ-00039453</t>
  </si>
  <si>
    <t>РС20-12-А-С Расходомер Питерфлоу РС, класс А, сэндвич (-С)</t>
  </si>
  <si>
    <t>УТ-00039454</t>
  </si>
  <si>
    <t>РС65-60-А-Ф Расходомер Питерфлоу РС, класс А, фланцы (-Ф)</t>
  </si>
  <si>
    <t>УТ-00039489</t>
  </si>
  <si>
    <t>СПТ961.2 Тепловычислитель</t>
  </si>
  <si>
    <t>УТ-00039490</t>
  </si>
  <si>
    <t xml:space="preserve">КАРАТ-307 (4V4T4P) (RS-485) Вычислитель </t>
  </si>
  <si>
    <t>УТ-00039498</t>
  </si>
  <si>
    <t>РС150-630-А-ФЕ-Р25-IP68 Расходомер Питерфлоу РС, класс А, фланцы (-Ф), исполнение - IP68</t>
  </si>
  <si>
    <t>УТ-00039499</t>
  </si>
  <si>
    <t>РС100-280-А-Ф Расходомер Питерфлоу РС, класс А, фланцы (-Ф)</t>
  </si>
  <si>
    <t>УТ-00039503</t>
  </si>
  <si>
    <t>ВЭПС-Р-80-ПБ-2-01</t>
  </si>
  <si>
    <t>УТ-00039513</t>
  </si>
  <si>
    <t>РС80-90-А-Ф Расходомер Питерфлоу РС, класс А, фланцы (-Ф)</t>
  </si>
  <si>
    <t>ВСХНд 40 (100л/имп) (турбинный, фланцевый)</t>
  </si>
  <si>
    <t>ВСГН 15 класс C</t>
  </si>
  <si>
    <t>ВСГН 20 класс C</t>
  </si>
  <si>
    <t>ВСГН 25</t>
  </si>
  <si>
    <t>ВСГН 32</t>
  </si>
  <si>
    <t>ВСГН 40 (крыльчатый, резьбовой)</t>
  </si>
  <si>
    <t>ВСГН 40 (турбинный фланцевый)</t>
  </si>
  <si>
    <t>ВСГНд 20 класс C (1л/имп)</t>
  </si>
  <si>
    <t>ВСГНд 15 класс C (1л/имп)</t>
  </si>
  <si>
    <t>ВСТН 32 (10л/имп)</t>
  </si>
  <si>
    <t>ВСТН 40 (100л/имп) (крыльчатый, резьбовой)</t>
  </si>
  <si>
    <t>ВСТН 40 (100л/имп) (турбинный, фланцевый)</t>
  </si>
  <si>
    <t>ВСХН 25 класс C</t>
  </si>
  <si>
    <t>ВСХН 32</t>
  </si>
  <si>
    <t>ВСХН 32 IP68</t>
  </si>
  <si>
    <t>ВСХН 32  класс C</t>
  </si>
  <si>
    <t>ВСХН 40 класс C (крыльчатый, резьбовой)</t>
  </si>
  <si>
    <t>ВСХН 40 (турбинный, фланцевый)</t>
  </si>
  <si>
    <t>ВСХНд 65 (100л/имп)</t>
  </si>
  <si>
    <t>ВСХНд 80 (100л/имп)</t>
  </si>
  <si>
    <t>ВСХНд 20 класс С (1л/имп)</t>
  </si>
  <si>
    <t>ВСХНд 25 (10л/имп)</t>
  </si>
  <si>
    <t>ВСХНд 25 класс C (10л/имп)</t>
  </si>
  <si>
    <t>ВСХНд 32 (10л/имп)</t>
  </si>
  <si>
    <t>ВСХНд 32 класс C (10л/имп)</t>
  </si>
  <si>
    <t>ВСХНд 40 IP 68 (100л/имп) (крыльчатый, резьбовой)</t>
  </si>
  <si>
    <t>ВСХНд 40  класс C (100л/имп) (крыльчатый, резьбовой)</t>
  </si>
  <si>
    <t>УТ-00039730</t>
  </si>
  <si>
    <t>ВКГ-2 Х-Х-Х</t>
  </si>
  <si>
    <t>УТ-00039732</t>
  </si>
  <si>
    <t>ВКГ-3Т Rs232</t>
  </si>
  <si>
    <t>УТ-00039735</t>
  </si>
  <si>
    <t>ВКТ-5 Х-Х-Х</t>
  </si>
  <si>
    <t>УТ-00039744</t>
  </si>
  <si>
    <t>ВКТ-7-01 Х-Х-Х</t>
  </si>
  <si>
    <t>УТ-00039762</t>
  </si>
  <si>
    <t>ВКТ-7-02 Х-Х-Х</t>
  </si>
  <si>
    <t>УТ-00039780</t>
  </si>
  <si>
    <t>ВКТ-7-03 Х-Х-Х</t>
  </si>
  <si>
    <t>УТ-00039799</t>
  </si>
  <si>
    <t>ВКТ-7-04 Х-Х-Х</t>
  </si>
  <si>
    <t>УТ-00039816</t>
  </si>
  <si>
    <t>ВКТ-9-02 X-БП</t>
  </si>
  <si>
    <t>УТ-00039860</t>
  </si>
  <si>
    <t>МФ-2.2.1-В-20</t>
  </si>
  <si>
    <t>УТ-00039887</t>
  </si>
  <si>
    <t>МФ-5.2.1-Б-20</t>
  </si>
  <si>
    <t>УТ-00039911</t>
  </si>
  <si>
    <t>МФ-2.2.1-Б-25</t>
  </si>
  <si>
    <t>УТ-00039915</t>
  </si>
  <si>
    <t>МФ-2.2.1-В-25</t>
  </si>
  <si>
    <t>УТ-00039935</t>
  </si>
  <si>
    <t>МФ-5.2.1-В-25</t>
  </si>
  <si>
    <t>УТ-00039993</t>
  </si>
  <si>
    <t>МФ-2.2.1-В-32</t>
  </si>
  <si>
    <t>УТ-00040016</t>
  </si>
  <si>
    <t>МФ-5.2.1-Б-32</t>
  </si>
  <si>
    <t>УТ-00040075</t>
  </si>
  <si>
    <t>МФ-5.2.1-В-40</t>
  </si>
  <si>
    <t>УТ-00040144</t>
  </si>
  <si>
    <t>МФ-5.2.1-Б-50</t>
  </si>
  <si>
    <t>УТ-00040173</t>
  </si>
  <si>
    <t>МФ-5.2.1-В-65</t>
  </si>
  <si>
    <t>УТ-00040182</t>
  </si>
  <si>
    <t>ВКТ-7-04Р Х-Х-Х</t>
  </si>
  <si>
    <t>УТ-00040219</t>
  </si>
  <si>
    <t>ПРЭМ-32 ГС L0/-/F Кл. B1</t>
  </si>
  <si>
    <t>УТ-00040220</t>
  </si>
  <si>
    <t>ПРЭМ-32 ГС L0/-/F Кл. C1</t>
  </si>
  <si>
    <t>УТ-00040221</t>
  </si>
  <si>
    <t>ПРЭМ-32 ГС L0/-/F Кл. D</t>
  </si>
  <si>
    <t>УТ-00040238</t>
  </si>
  <si>
    <t>ПРЭМ-32 ГФ L0/-/F Кл. B1</t>
  </si>
  <si>
    <t>УТ-00040239</t>
  </si>
  <si>
    <t>ПРЭМ-32 ГФ L0/-/F Кл. C1</t>
  </si>
  <si>
    <t>УТ-00040240</t>
  </si>
  <si>
    <t>ПРЭМ-32 ГФ L0/-/F Кл. D</t>
  </si>
  <si>
    <t>УТ-00040275</t>
  </si>
  <si>
    <t>ПРЭМ-50 ГС L0/-/F Кл. B1</t>
  </si>
  <si>
    <t>УТ-00040276</t>
  </si>
  <si>
    <t>ПРЭМ-50 ГС L0/-/F Кл. C1</t>
  </si>
  <si>
    <t>УТ-00040277</t>
  </si>
  <si>
    <t>ПРЭМ-50 ГС L0/-/F Кл. D</t>
  </si>
  <si>
    <t>УТ-00040294</t>
  </si>
  <si>
    <t>ПРЭМ-50 ГФ L0/-/F Кл. B1</t>
  </si>
  <si>
    <t>УТ-00040295</t>
  </si>
  <si>
    <t>ПРЭМ-50 ГФ L0/-/F Кл. C1</t>
  </si>
  <si>
    <t>УТ-00040296</t>
  </si>
  <si>
    <t>ПРЭМ-50 ГФ L0/-/F Кл. D</t>
  </si>
  <si>
    <t>УТ-00040330</t>
  </si>
  <si>
    <t>ПРЭМ-80 ГС L0/-/F Кл. B1</t>
  </si>
  <si>
    <t>УТ-00040331</t>
  </si>
  <si>
    <t>ПРЭМ-80 ГС L0/-/F Кл. C1</t>
  </si>
  <si>
    <t>УТ-00040332</t>
  </si>
  <si>
    <t>ПРЭМ-80 ГС L0/-/F Кл. D</t>
  </si>
  <si>
    <t>УТ-00040391</t>
  </si>
  <si>
    <t>ПРЭМ-150 ГФ L0/-/F Кл. B1</t>
  </si>
  <si>
    <t>УТ-00040392</t>
  </si>
  <si>
    <t>ПРЭМ-150 ГФ L0/-/F Кл. C1</t>
  </si>
  <si>
    <t>УТ-00040393</t>
  </si>
  <si>
    <t>ПРЭМ-150 ГФ L0/-/F Кл. D</t>
  </si>
  <si>
    <t>УТ-00040413</t>
  </si>
  <si>
    <t>МФ-5.2.1-В-15</t>
  </si>
  <si>
    <t>УТ-00040515</t>
  </si>
  <si>
    <t>МФ-2.2.1-Б-20</t>
  </si>
  <si>
    <t>УТ-00040540</t>
  </si>
  <si>
    <t>МФ-5.2.1-В-20</t>
  </si>
  <si>
    <t>УТ-00040600</t>
  </si>
  <si>
    <t>МФ-5.2.1-Б-25</t>
  </si>
  <si>
    <t>УТ-00040689</t>
  </si>
  <si>
    <t>МФ-2.2.1-Б-32</t>
  </si>
  <si>
    <t>УТ-00040716</t>
  </si>
  <si>
    <t>МФ-5.2.1-В-32</t>
  </si>
  <si>
    <t>УТ-00040739</t>
  </si>
  <si>
    <t>МФ-2.2.1-Б-40</t>
  </si>
  <si>
    <t>УТ-00040743</t>
  </si>
  <si>
    <t>МФ-2.2.1-В-40</t>
  </si>
  <si>
    <t>УТ-00040766</t>
  </si>
  <si>
    <t>МФ-5.2.1-Б-40</t>
  </si>
  <si>
    <t>УТ-00040872</t>
  </si>
  <si>
    <t>МФ-2.2.1-В-50</t>
  </si>
  <si>
    <t>УТ-00040932</t>
  </si>
  <si>
    <t>МФ-5.2.1-Б-65</t>
  </si>
  <si>
    <t>УТ-00040977</t>
  </si>
  <si>
    <t>МФ-5.2.1-Б-80</t>
  </si>
  <si>
    <t>УТ-00041016</t>
  </si>
  <si>
    <t>МФ-5.2.1-Б-150</t>
  </si>
  <si>
    <t>УТ-00041018</t>
  </si>
  <si>
    <t>МФ-5.2.1-В-150</t>
  </si>
  <si>
    <t>УТ-00041062</t>
  </si>
  <si>
    <t>МФ-5.2.1-В-200</t>
  </si>
  <si>
    <t>УТ-00041106</t>
  </si>
  <si>
    <t>ВКТ-9-01 X-X</t>
  </si>
  <si>
    <t>УТ-00041107</t>
  </si>
  <si>
    <t>ВКТ-9-01 X-БП</t>
  </si>
  <si>
    <t>УТ-00041109</t>
  </si>
  <si>
    <t>ВКТ-9-02 X-X</t>
  </si>
  <si>
    <t>УТ-00041112</t>
  </si>
  <si>
    <t>ПРЭМ-20 ГФ L0/-/F Кл. C1</t>
  </si>
  <si>
    <t>УТ-00041113</t>
  </si>
  <si>
    <t>ПРЭМ-20 ГФ L0/-/F Кл. D</t>
  </si>
  <si>
    <t>УТ-00041117</t>
  </si>
  <si>
    <t>ПРЭМ-20 ГС L0/-/F Кл. B1</t>
  </si>
  <si>
    <t>УТ-00041119</t>
  </si>
  <si>
    <t>ПРЭМ-20 ГС L0/-/F Кл. C1</t>
  </si>
  <si>
    <t>УТ-00041120</t>
  </si>
  <si>
    <t>ПРЭМ-20 ГС L0/-/F Кл. D</t>
  </si>
  <si>
    <t>УТ-00041137</t>
  </si>
  <si>
    <t>ПРЭМ-20 ГФ L0/-/F Кл. B1</t>
  </si>
  <si>
    <t>УТ-00041194</t>
  </si>
  <si>
    <t>ПРЭМ-40 ГФ L0/-/F Кл. B1</t>
  </si>
  <si>
    <t>УТ-00041195</t>
  </si>
  <si>
    <t>ПРЭМ-40 ГФ L0/-/F Кл. C1</t>
  </si>
  <si>
    <t>УТ-00041196</t>
  </si>
  <si>
    <t>ПРЭМ-40 ГФ L0/-/F Кл. D</t>
  </si>
  <si>
    <t>УТ-00041248</t>
  </si>
  <si>
    <t>ПРЭМ-65 ГФ L0/-/F Кл. B1</t>
  </si>
  <si>
    <t>УТ-00041249</t>
  </si>
  <si>
    <t>ПРЭМ-65 ГФ L0/-/F Кл. C1</t>
  </si>
  <si>
    <t>УТ-00041250</t>
  </si>
  <si>
    <t>ПРЭМ-65 ГФ L0/-/F Кл. D</t>
  </si>
  <si>
    <t>УТ-00041286</t>
  </si>
  <si>
    <t>ПРЭМ-80 ГФ L0/-/F Кл. B1</t>
  </si>
  <si>
    <t>УТ-00041287</t>
  </si>
  <si>
    <t>ПРЭМ-80 ГФ L0/-/F Кл. C1</t>
  </si>
  <si>
    <t>УТ-00041288</t>
  </si>
  <si>
    <t>ПРЭМ-80 ГФ L0/-/F Кл. D</t>
  </si>
  <si>
    <t>УТ-00041306</t>
  </si>
  <si>
    <t>ПРЭМ-100 ГС L0/-/F Кл. B1</t>
  </si>
  <si>
    <t>УТ-00041307</t>
  </si>
  <si>
    <t>ПРЭМ-100 ГС L0/-/F Кл. C1</t>
  </si>
  <si>
    <t>УТ-00041308</t>
  </si>
  <si>
    <t>ПРЭМ-100 ГС L0/-/F Кл. D</t>
  </si>
  <si>
    <t>УТ-00041338</t>
  </si>
  <si>
    <t>МФ-5.2.1-Б-15</t>
  </si>
  <si>
    <t>УТ-00041572</t>
  </si>
  <si>
    <t>МФ-2.2.1-Б-50</t>
  </si>
  <si>
    <t>УТ-00041583</t>
  </si>
  <si>
    <t>МФ-5.2.1-В-50</t>
  </si>
  <si>
    <t>УТ-00041612</t>
  </si>
  <si>
    <t>МФ-5.2.1-В-80</t>
  </si>
  <si>
    <t>УТ-00041669</t>
  </si>
  <si>
    <t>МФ-5.2.1-Б-100</t>
  </si>
  <si>
    <t>УТ-00041673</t>
  </si>
  <si>
    <t>МФ-5.2.1-В-100</t>
  </si>
  <si>
    <t>УТ-00041729</t>
  </si>
  <si>
    <t>МФ-5.2.1-Б-200</t>
  </si>
  <si>
    <t>УТ-00041775</t>
  </si>
  <si>
    <t>ТМК-Н100.2.1</t>
  </si>
  <si>
    <t>УТ-00041776</t>
  </si>
  <si>
    <t>УТ-00041777</t>
  </si>
  <si>
    <t>УТ-00041778</t>
  </si>
  <si>
    <t>УТ-00041779</t>
  </si>
  <si>
    <t>УТ-00041795</t>
  </si>
  <si>
    <t>КМЧ для ВЭПС Ду25</t>
  </si>
  <si>
    <t>УТ-00041796</t>
  </si>
  <si>
    <t>ВЭПС-Р-25-ПБ-2-01</t>
  </si>
  <si>
    <t>УТ-00041804</t>
  </si>
  <si>
    <t>РС50-36-С-С Расходомер Питерфлоу РС, класс С, сэндвич (-С)</t>
  </si>
  <si>
    <t>УТ-00041826</t>
  </si>
  <si>
    <t>АПС79 Адаптер</t>
  </si>
  <si>
    <t>УТ-00041827</t>
  </si>
  <si>
    <t>АДС91 Накопитель</t>
  </si>
  <si>
    <t>УТ-00041828</t>
  </si>
  <si>
    <t>АПС78 Адаптер</t>
  </si>
  <si>
    <t>УТ-00041829</t>
  </si>
  <si>
    <t>АПС71 Адаптер</t>
  </si>
  <si>
    <t>УТ-00041839</t>
  </si>
  <si>
    <t>РС50-36-А-С Расходомер Питерфлоу РС, класс А, сэндвич (-С)</t>
  </si>
  <si>
    <t>УТ-00041841</t>
  </si>
  <si>
    <t>РС20-6-А-С Расходомер Питерфлоу РС, класс А, сэндвич (-С)</t>
  </si>
  <si>
    <t>УТ-00041863</t>
  </si>
  <si>
    <t>РС40-22-А-Ф1 Расходомер Питерфлоу РС, класс А, фланцы (-Ф1), нержавеющий сплав</t>
  </si>
  <si>
    <t>УТ-00041916</t>
  </si>
  <si>
    <t>РС40-45-А-Ф1 Расходомер Питерфлоу РС, класс А, фланцы (-Ф1), нержавеющий сплав</t>
  </si>
  <si>
    <t>УТ-00041919</t>
  </si>
  <si>
    <t>ЭРСВ-440Л В Ду20</t>
  </si>
  <si>
    <t>УТ-00041920</t>
  </si>
  <si>
    <t>ЭРСВ-440Л В Ду32</t>
  </si>
  <si>
    <t>УТ-00041921</t>
  </si>
  <si>
    <t>ЭРСВ-440Л В Ду40</t>
  </si>
  <si>
    <t>УТ-00041935</t>
  </si>
  <si>
    <t>РС20-6-С-С Расходомер Питерфлоу РС, класс С, сэндвич (-С)</t>
  </si>
  <si>
    <t>УТ-00041936</t>
  </si>
  <si>
    <t>РС100-140-А-Ф Расходомер Питерфлоу РС, класс А, фланцы (-Ф)</t>
  </si>
  <si>
    <t>ВСХН 25 IP68</t>
  </si>
  <si>
    <t>ВСХН 40 IP68 (крыльчатый, резьбовой)</t>
  </si>
  <si>
    <t>ВСХН 40 IP68 (турбинный, фланцевый)</t>
  </si>
  <si>
    <t>ВСХНд 25 IP68 (10л/имп)</t>
  </si>
  <si>
    <t>ВСХНд 32 IP68 (10л/имп)</t>
  </si>
  <si>
    <t>ВСХНд 40 IP68 (100л/имп) (турбинный, фланцевый)</t>
  </si>
  <si>
    <t>УТ-00042015</t>
  </si>
  <si>
    <t>РС50-36-А-Ф1 Расходомер Питерфлоу РС, класс А, фланцы (-Ф1), нержавеющий сплав</t>
  </si>
  <si>
    <t>УТ-00042033</t>
  </si>
  <si>
    <t>СПТ962 Тепловычислитель</t>
  </si>
  <si>
    <t>УТ-00042034</t>
  </si>
  <si>
    <t>СПТ963 Тепловычислитель</t>
  </si>
  <si>
    <t>УТ-00042035</t>
  </si>
  <si>
    <t>СПГ762.2 Корректор газа</t>
  </si>
  <si>
    <t>УТ-00042036</t>
  </si>
  <si>
    <t>СПГ763.2 Корректор газа</t>
  </si>
  <si>
    <t>УТ-00042039</t>
  </si>
  <si>
    <t>АДС97 Адаптер</t>
  </si>
  <si>
    <t>УТ-00042040</t>
  </si>
  <si>
    <t>АДС98 Адаптер</t>
  </si>
  <si>
    <t>УТ-00042041</t>
  </si>
  <si>
    <t>АДС99 Адаптер</t>
  </si>
  <si>
    <t>УТ-00042042</t>
  </si>
  <si>
    <t>АПС43 Адаптер</t>
  </si>
  <si>
    <t>УТ-00042043</t>
  </si>
  <si>
    <t>АПС45 Адаптер</t>
  </si>
  <si>
    <t>УТ-00042044</t>
  </si>
  <si>
    <t>АПС70 Адаптер</t>
  </si>
  <si>
    <t>УТ-00042045</t>
  </si>
  <si>
    <t>АПС77 Адаптер</t>
  </si>
  <si>
    <t>УТ-00042046</t>
  </si>
  <si>
    <t>АДП82 адаптер питания 220В/(12В, 400мА)</t>
  </si>
  <si>
    <t>УТ-00042047</t>
  </si>
  <si>
    <t>АДП83 адаптер питания 220В/(24В, 200мА)</t>
  </si>
  <si>
    <t>УТ-00042061</t>
  </si>
  <si>
    <t>ВЭПС-Р-50-ПБ-2-01</t>
  </si>
  <si>
    <t>УТ-00042103</t>
  </si>
  <si>
    <t>РС50-36-В-С Расходомер Питерфлоу РС, класс В, сэндвич (-С)</t>
  </si>
  <si>
    <t>УТ-00042120</t>
  </si>
  <si>
    <t>ВЭПС-Р-20-ПБ-2-01</t>
  </si>
  <si>
    <t>УТ-00042121</t>
  </si>
  <si>
    <t>КМЧ для ВЭПС Ду20</t>
  </si>
  <si>
    <t>УТ-00042123</t>
  </si>
  <si>
    <t>РС20-6-А-М Расходомер Питерфлоу РС, класс А, муфта (-М)</t>
  </si>
  <si>
    <t>УТ-00042124</t>
  </si>
  <si>
    <t>РС20-12-А-М Расходомер Питерфлоу РС, класс А, муфта (-М)</t>
  </si>
  <si>
    <t>УТ-00042125</t>
  </si>
  <si>
    <t>РС32-15-А-М Расходомер Питерфлоу РС, класс А, муфта (-М)</t>
  </si>
  <si>
    <t>УТ-00042126</t>
  </si>
  <si>
    <t>РС32-30-А-М Расходомер Питерфлоу РС, класс А, муфта (-М)</t>
  </si>
  <si>
    <t>УТ-00042127</t>
  </si>
  <si>
    <t>РС20-6-В-М Расходомер Питерфлоу РС, класс В, муфта (-М)</t>
  </si>
  <si>
    <t>УТ-00042128</t>
  </si>
  <si>
    <t>РС20-12-В-М Расходомер Питерфлоу РС, класс В, муфта (-М)</t>
  </si>
  <si>
    <t>УТ-00042129</t>
  </si>
  <si>
    <t>РС32-15-В-М Расходомер Питерфлоу РС, класс В, муфта (-М)</t>
  </si>
  <si>
    <t>УТ-00042130</t>
  </si>
  <si>
    <t>РС32-30-В-М Расходомер Питерфлоу РС, класс В, муфта (-М)</t>
  </si>
  <si>
    <t>УТ-00042131</t>
  </si>
  <si>
    <t>РС20-6-С-М Расходомер Питерфлоу РС, класс С, муфта (-М)</t>
  </si>
  <si>
    <t>УТ-00042132</t>
  </si>
  <si>
    <t>РС20-12-С-М Расходомер Питерфлоу РС, класс С, муфта (-М)</t>
  </si>
  <si>
    <t>УТ-00042133</t>
  </si>
  <si>
    <t>РС32-15-С-М Расходомер Питерфлоу РС, класс С, муфта (-М)</t>
  </si>
  <si>
    <t>УТ-00042134</t>
  </si>
  <si>
    <t>РС32-30-С-М Расходомер Питерфлоу РС, класс С, муфта (-М)</t>
  </si>
  <si>
    <t>УТ-00042135</t>
  </si>
  <si>
    <t>РС20-6-В-С Расходомер Питерфлоу РС, класс В, сэндвич (-С)</t>
  </si>
  <si>
    <t>УТ-00042136</t>
  </si>
  <si>
    <t>РС20-12-В-С Расходомер Питерфлоу РС, класс В, сэндвич (-С)</t>
  </si>
  <si>
    <t>УТ-00042137</t>
  </si>
  <si>
    <t>РС32-15-В-С Расходомер Питерфлоу РС, класс В, сэндвич (-С)</t>
  </si>
  <si>
    <t>УТ-00042138</t>
  </si>
  <si>
    <t>РС50-72-В-С Расходомер Питерфлоу РС, класс В, сэндвич (-С)</t>
  </si>
  <si>
    <t>УТ-00042139</t>
  </si>
  <si>
    <t>РС20-12-С-С Расходомер Питерфлоу РС, класс С, сэндвич (-С)</t>
  </si>
  <si>
    <t>УТ-00042140</t>
  </si>
  <si>
    <t>РС32-15-С-С Расходомер Питерфлоу РС, класс С, сэндвич (-С)</t>
  </si>
  <si>
    <t>УТ-00042141</t>
  </si>
  <si>
    <t>РС32-30-С-С Расходомер Питерфлоу РС, класс С, сэндвич (-С)</t>
  </si>
  <si>
    <t>УТ-00042142</t>
  </si>
  <si>
    <t>РС50-72-С-С Расходомер Питерфлоу РС, класс С, сэндвич (-С)</t>
  </si>
  <si>
    <t>УТ-00042143</t>
  </si>
  <si>
    <t>РС20-6-А-Ф1 Расходомер Питерфлоу РС, класс А, фланцы (-Ф1), нержавеющий сплав</t>
  </si>
  <si>
    <t>УТ-00042144</t>
  </si>
  <si>
    <t>РС20-12-А-Ф1 Расходомер Питерфлоу РС, класс А, фланцы (-Ф1), нержавеющий сплав</t>
  </si>
  <si>
    <t>УТ-00042145</t>
  </si>
  <si>
    <t>РС25-9-А-Ф1 Расходомер Питерфлоу РС, класс А, фланцы (-Ф1), нержавеющий сплав</t>
  </si>
  <si>
    <t>УТ-00042146</t>
  </si>
  <si>
    <t>РС25-18-А-Ф1 Расходомер Питерфлоу РС, класс А, фланцы (-Ф1), нержавеющий сплав</t>
  </si>
  <si>
    <t>УТ-00042147</t>
  </si>
  <si>
    <t>РС32-15-А-Ф1 Расходомер Питерфлоу РС, класс А, фланцы (-Ф1), нержавеющий сплав</t>
  </si>
  <si>
    <t>УТ-00042148</t>
  </si>
  <si>
    <t>РС65-60-А-Ф1 Расходомер Питерфлоу РС, класс А, фланцы (-Ф1), нержавеющий сплав</t>
  </si>
  <si>
    <t>УТ-00042149</t>
  </si>
  <si>
    <t>РС80-90-А-Ф1 Расходомер Питерфлоу РС, класс А, фланцы (-Ф1), нержавеющий сплав</t>
  </si>
  <si>
    <t>УТ-00042150</t>
  </si>
  <si>
    <t>РС100-140-А-Ф1 Расходомер Питерфлоу РС, класс А, фланцы (-Ф1), нержавеющий сплав</t>
  </si>
  <si>
    <t>УТ-00042151</t>
  </si>
  <si>
    <t>РС100-280-А-Ф1 Расходомер Питерфлоу РС, класс А, фланцы (-Ф1), нержавеющий сплав</t>
  </si>
  <si>
    <t>УТ-00042154</t>
  </si>
  <si>
    <t>РС20-6-В-Ф1 Расходомер Питерфлоу РС, класс В, фланцы (-Ф1), нержавеющий сплав</t>
  </si>
  <si>
    <t>УТ-00042155</t>
  </si>
  <si>
    <t>РС20-12-В-Ф1 Расходомер Питерфлоу РС, класс В, фланцы (-Ф1), нержавеющий сплав</t>
  </si>
  <si>
    <t>УТ-00042156</t>
  </si>
  <si>
    <t>РС25-9-В-Ф1 Расходомер Питерфлоу РС, класс В, фланцы (-Ф1), нержавеющий сплав</t>
  </si>
  <si>
    <t>УТ-00042157</t>
  </si>
  <si>
    <t>РС25-18-В-Ф1 Расходомер Питерфлоу РС, класс В, фланцы (-Ф1), нержавеющий сплав</t>
  </si>
  <si>
    <t>УТ-00042158</t>
  </si>
  <si>
    <t>РС32-15-В-Ф1 Расходомер Питерфлоу РС, класс В, фланцы (-Ф1), нержавеющий сплав</t>
  </si>
  <si>
    <t>УТ-00042159</t>
  </si>
  <si>
    <t>РС32-30-В-Ф1 Расходомер Питерфлоу РС, класс В, фланцы (-Ф1), нержавеющий сплав</t>
  </si>
  <si>
    <t>УТ-00042160</t>
  </si>
  <si>
    <t>РС40-22-В-Ф1 Расходомер Питерфлоу РС, класс В, фланцы (-Ф1), нержавеющий сплав</t>
  </si>
  <si>
    <t>УТ-00042161</t>
  </si>
  <si>
    <t>РС40-45-В-Ф1 Расходомер Питерфлоу РС, класс В, фланцы (-Ф1), нержавеющий сплав</t>
  </si>
  <si>
    <t>УТ-00042162</t>
  </si>
  <si>
    <t>РС50-36-В-Ф1 Расходомер Питерфлоу РС, класс В, фланцы (-Ф1), нержавеющий сплав</t>
  </si>
  <si>
    <t>УТ-00042163</t>
  </si>
  <si>
    <t>РС50-72-В-Ф1 Расходомер Питерфлоу РС, класс В, фланцы (-Ф1), нержавеющий сплав</t>
  </si>
  <si>
    <t>УТ-00042164</t>
  </si>
  <si>
    <t>РС65-60-В-Ф1 Расходомер Питерфлоу РС, класс В, фланцы (-Ф1), нержавеющий сплав</t>
  </si>
  <si>
    <t>УТ-00042165</t>
  </si>
  <si>
    <t>РС80-90-В-Ф1 Расходомер Питерфлоу РС, класс В, фланцы (-Ф1), нержавеющий сплав</t>
  </si>
  <si>
    <t>УТ-00042166</t>
  </si>
  <si>
    <t>РС100-140-В-Ф1 Расходомер Питерфлоу РС, класс В, фланцы (-Ф1), нержавеющий сплав</t>
  </si>
  <si>
    <t>УТ-00042167</t>
  </si>
  <si>
    <t>РС100-280-В-Ф1 Расходомер Питерфлоу РС, класс В, фланцы (-Ф1), нержавеющий сплав</t>
  </si>
  <si>
    <t>УТ-00042170</t>
  </si>
  <si>
    <t>РС20-6-С-Ф1 Расходомер Питерфлоу РС, класс С, фланцы (-Ф1), нержавеющий сплав</t>
  </si>
  <si>
    <t>УТ-00042171</t>
  </si>
  <si>
    <t>РС20-12-С-Ф1 Расходомер Питерфлоу РС, класс С, фланцы (-Ф1), нержавеющий сплав</t>
  </si>
  <si>
    <t>УТ-00042172</t>
  </si>
  <si>
    <t>РС25-9-С-Ф1 Расходомер Питерфлоу РС, класс С, фланцы (-Ф1), нержавеющий сплав</t>
  </si>
  <si>
    <t>УТ-00042173</t>
  </si>
  <si>
    <t>РС25-18-С-Ф1 Расходомер Питерфлоу РС, класс С, фланцы (-Ф1), нержавеющий сплав</t>
  </si>
  <si>
    <t>УТ-00042174</t>
  </si>
  <si>
    <t>РС32-15-С-Ф1 Расходомер Питерфлоу РС, класс С, фланцы (-Ф1), нержавеющий сплав</t>
  </si>
  <si>
    <t>УТ-00042175</t>
  </si>
  <si>
    <t>РС32-30-С-Ф1 Расходомер Питерфлоу РС, класс С, фланцы (-Ф1), нержавеющий сплав</t>
  </si>
  <si>
    <t>УТ-00042176</t>
  </si>
  <si>
    <t>РС40-22-С-Ф1 Расходомер Питерфлоу РС, класс С, фланцы (-Ф1), нержавеющий сплав</t>
  </si>
  <si>
    <t>УТ-00042177</t>
  </si>
  <si>
    <t>РС40-45-С-Ф1 Расходомер Питерфлоу РС, класс С, фланцы (-Ф1), нержавеющий сплав</t>
  </si>
  <si>
    <t>УТ-00042178</t>
  </si>
  <si>
    <t>РС50-36-С-Ф1 Расходомер Питерфлоу РС, класс С, фланцы (-Ф1), нержавеющий сплав</t>
  </si>
  <si>
    <t>УТ-00042179</t>
  </si>
  <si>
    <t>РС50-72-С-Ф1 Расходомер Питерфлоу РС, класс С, фланцы (-Ф1), нержавеющий сплав</t>
  </si>
  <si>
    <t>УТ-00042180</t>
  </si>
  <si>
    <t>РС65-60-С-Ф1 Расходомер Питерфлоу РС, класс С, фланцы (-Ф1), нержавеющий сплав</t>
  </si>
  <si>
    <t>УТ-00042181</t>
  </si>
  <si>
    <t>РС80-90-С-Ф1 Расходомер Питерфлоу РС, класс С, фланцы (-Ф1), нержавеющий сплав</t>
  </si>
  <si>
    <t>УТ-00042182</t>
  </si>
  <si>
    <t>РС100-140-С-Ф1 Расходомер Питерфлоу РС, класс С, фланцы (-Ф1), нержавеющий сплав</t>
  </si>
  <si>
    <t>УТ-00042183</t>
  </si>
  <si>
    <t>РС100-280-С-Ф1 Расходомер Питерфлоу РС, класс С, фланцы (-Ф1), нержавеющий сплав</t>
  </si>
  <si>
    <t>УТ-00042190</t>
  </si>
  <si>
    <t>РС150-630-А-ФЕ-Р25-IP66 Расходомер Питерфлоу РС, класс А, фланцы (-Ф)</t>
  </si>
  <si>
    <t>УТ-00042195</t>
  </si>
  <si>
    <t>РС65-60-В-Ф Расходомер Питерфлоу РС, класс В, фланцы (-Ф)</t>
  </si>
  <si>
    <t>УТ-00042196</t>
  </si>
  <si>
    <t>РС100-140-В-Ф Расходомер Питерфлоу РС, класс В, фланцы (-Ф)</t>
  </si>
  <si>
    <t>УТ-00042197</t>
  </si>
  <si>
    <t>РС100-280-В-Ф Расходомер Питерфлоу РС, класс В, фланцы (-Ф)</t>
  </si>
  <si>
    <t>УТ-00042198</t>
  </si>
  <si>
    <t>РС150-630-В-ФЕ-Р25-IP66 Расходомер Питерфлоу РС, класс B, фланцы (-Ф), исполнение - IP66</t>
  </si>
  <si>
    <t>УТ-00042203</t>
  </si>
  <si>
    <t>РС65-60-С-Ф Расходомер Питерфлоу РС, класс С, фланцы (-Ф)</t>
  </si>
  <si>
    <t>УТ-00042204</t>
  </si>
  <si>
    <t>РС80-90-С-Ф Расходомер Питерфлоу РС, класс С, фланцы (-Ф)</t>
  </si>
  <si>
    <t>УТ-00042205</t>
  </si>
  <si>
    <t>РС100-140-С-Ф Расходомер Питерфлоу РС, класс С, фланцы (-Ф)</t>
  </si>
  <si>
    <t>УТ-00042206</t>
  </si>
  <si>
    <t>РС100-280-С-Ф Расходомер Питерфлоу РС, класс С, фланцы (-Ф)</t>
  </si>
  <si>
    <t>УТ-00042207</t>
  </si>
  <si>
    <t>РС150-630-С-ФЕ-Р25-IP66 Расходомер Питерфлоу РС, класс С, фланцы (-Ф), исполнение - IP66</t>
  </si>
  <si>
    <t>УТ-00042208</t>
  </si>
  <si>
    <t>РС20-6-А-Ф1-IP68 Расходомер Питерфлоу РС, класс А, фланцы (-Ф1), нержавеющий сплав</t>
  </si>
  <si>
    <t>УТ-00042209</t>
  </si>
  <si>
    <t>РС20-12-А-Ф1-IP68 Расходомер Питерфлоу РС, класс А, фланцы (-Ф1), нержавеющий сплав</t>
  </si>
  <si>
    <t>УТ-00042210</t>
  </si>
  <si>
    <t>РС25-9-А-Ф1-IP68 Расходомер Питерфлоу РС, класс А, фланцы (-Ф1), нержавеющий сплав</t>
  </si>
  <si>
    <t>УТ-00042211</t>
  </si>
  <si>
    <t>РС25-18-А-Ф1-IP68 Расходомер Питерфлоу РС, класс А, фланцы (-Ф1), нержавеющий сплав</t>
  </si>
  <si>
    <t>УТ-00042212</t>
  </si>
  <si>
    <t>РС32-15-А-Ф1-IP68 Расходомер Питерфлоу РС, класс А, фланцы (-Ф1), нержавеющий сплав</t>
  </si>
  <si>
    <t>УТ-00042213</t>
  </si>
  <si>
    <t>РС32-30-А-Ф1-IP68 Расходомер Питерфлоу РС, класс А, фланцы (-Ф1), нержавеющий сплав</t>
  </si>
  <si>
    <t>УТ-00042214</t>
  </si>
  <si>
    <t>РС40-22-А-Ф1-IP68 Расходомер Питерфлоу РС, класс А, фланцы (-Ф1), нержавеющий сплав</t>
  </si>
  <si>
    <t>УТ-00042215</t>
  </si>
  <si>
    <t>РС40-45-А-Ф1-IP68 Расходомер Питерфлоу РС, класс А, фланцы (-Ф1), нержавеющий сплав</t>
  </si>
  <si>
    <t>УТ-00042216</t>
  </si>
  <si>
    <t>РС50-36-А-Ф1-IP68 Расходомер Питерфлоу РС, класс А, фланцы (-Ф1), нержавеющий сплав</t>
  </si>
  <si>
    <t>УТ-00042217</t>
  </si>
  <si>
    <t>РС50-72-А-Ф1-IP68 Расходомер Питерфлоу РС, класс А, фланцы (-Ф1), нержавеющий сплав</t>
  </si>
  <si>
    <t>УТ-00042218</t>
  </si>
  <si>
    <t>РС65-60-А-Ф1-IP68 Расходомер Питерфлоу РС, класс А, фланцы (-Ф1), нержавеющий сплав</t>
  </si>
  <si>
    <t>УТ-00042219</t>
  </si>
  <si>
    <t>РС80-90-А-Ф1-IP68 Расходомер Питерфлоу РС, класс А, фланцы (-Ф1), нержавеющий сплав</t>
  </si>
  <si>
    <t>УТ-00042220</t>
  </si>
  <si>
    <t>РС100-140-А-Ф1-IP68 Расходомер Питерфлоу РС, класс А, фланцы (-Ф1), нержавеющий сплав</t>
  </si>
  <si>
    <t>УТ-00042221</t>
  </si>
  <si>
    <t>РС100-280-А-Ф1-IP68 Расходомер Питерфлоу РС, класс А, фланцы (-Ф1), нержавеющий сплав</t>
  </si>
  <si>
    <t>УТ-00042222</t>
  </si>
  <si>
    <t>РС20-6-В-Ф1-IP68 Расходомер Питерфлоу РС, класс В, фланцы (-Ф1), нержавеющий сплав</t>
  </si>
  <si>
    <t>УТ-00042223</t>
  </si>
  <si>
    <t>РС20-12-В-Ф1-IP68 Расходомер Питерфлоу РС, класс В, фланцы (-Ф1), нержавеющий сплав</t>
  </si>
  <si>
    <t>УТ-00042224</t>
  </si>
  <si>
    <t>РС25-9-В-Ф1-IP68 Расходомер Питерфлоу РС, класс В, фланцы (-Ф1), нержавеющий сплав</t>
  </si>
  <si>
    <t>УТ-00042225</t>
  </si>
  <si>
    <t>РС25-18-В-Ф1-IP68 Расходомер Питерфлоу РС, класс В, фланцы (-Ф1), нержавеющий сплав</t>
  </si>
  <si>
    <t>УТ-00042226</t>
  </si>
  <si>
    <t>РС32-15-В-Ф1-IP68 Расходомер Питерфлоу РС, класс В, фланцы (-Ф1), нержавеющий сплав</t>
  </si>
  <si>
    <t>УТ-00042227</t>
  </si>
  <si>
    <t>РС32-30-В-Ф1-IP68 Расходомер Питерфлоу РС, класс В, фланцы (-Ф1), нержавеющий сплав</t>
  </si>
  <si>
    <t>УТ-00042228</t>
  </si>
  <si>
    <t>РС40-22-В-Ф1-IP68 Расходомер Питерфлоу РС, класс В, фланцы (-Ф1), нержавеющий сплав</t>
  </si>
  <si>
    <t>УТ-00042229</t>
  </si>
  <si>
    <t>РС40-45-В-Ф1-IP68 Расходомер Питерфлоу РС, класс В, фланцы (-Ф1), нержавеющий сплав</t>
  </si>
  <si>
    <t>УТ-00042230</t>
  </si>
  <si>
    <t>РС50-36-В-Ф1-IP68 Расходомер Питерфлоу РС, класс В, фланцы (-Ф1), нержавеющий сплав</t>
  </si>
  <si>
    <t>УТ-00042231</t>
  </si>
  <si>
    <t>РС50-72-В-Ф1-IP68 Расходомер Питерфлоу РС, класс В, фланцы (-Ф1), нержавеющий сплав</t>
  </si>
  <si>
    <t>УТ-00042232</t>
  </si>
  <si>
    <t>РС65-60-В-Ф1-IP68 Расходомер Питерфлоу РС, класс В, фланцы (-Ф1), нержавеющий сплав</t>
  </si>
  <si>
    <t>УТ-00042233</t>
  </si>
  <si>
    <t>РС80-90-В-Ф1-IP68 Расходомер Питерфлоу РС, класс В, фланцы (-Ф1), нержавеющий сплав</t>
  </si>
  <si>
    <t>УТ-00042234</t>
  </si>
  <si>
    <t>РС100-140-В-Ф1-IP68 Расходомер Питерфлоу РС, класс В, фланцы (-Ф1), нержавеющий сплав</t>
  </si>
  <si>
    <t>УТ-00042235</t>
  </si>
  <si>
    <t>РС100-280-В-Ф1-IP68 Расходомер Питерфлоу РС, класс В, фланцы (-Ф1), нержавеющий сплав</t>
  </si>
  <si>
    <t>УТ-00042236</t>
  </si>
  <si>
    <t>РС20-6-С-Ф1-IP68 Расходомер Питерфлоу РС, класс С, фланцы (-Ф1), нержавеющий сплав</t>
  </si>
  <si>
    <t>УТ-00042237</t>
  </si>
  <si>
    <t>РС20-12-С-Ф1-IP68 Расходомер Питерфлоу РС, класс С, фланцы (-Ф1), нержавеющий сплав</t>
  </si>
  <si>
    <t>УТ-00042238</t>
  </si>
  <si>
    <t>РС25-9-С-Ф1-IP68 Расходомер Питерфлоу РС, класс С, фланцы (-Ф1), нержавеющий сплав</t>
  </si>
  <si>
    <t>УТ-00042239</t>
  </si>
  <si>
    <t>РС25-18-С-Ф1-IP68 Расходомер Питерфлоу РС, класс С, фланцы (-Ф1), нержавеющий сплав</t>
  </si>
  <si>
    <t>УТ-00042240</t>
  </si>
  <si>
    <t>РС32-15-С-Ф1-IP68 Расходомер Питерфлоу РС, класс С, фланцы (-Ф1), нержавеющий сплав</t>
  </si>
  <si>
    <t>УТ-00042241</t>
  </si>
  <si>
    <t>РС32-30-С-Ф1-IP68 Расходомер Питерфлоу РС, класс С, фланцы (-Ф1), нержавеющий сплав</t>
  </si>
  <si>
    <t>УТ-00042242</t>
  </si>
  <si>
    <t>РС40-22-С-Ф1-IP68 Расходомер Питерфлоу РС, класс С, фланцы (-Ф1), нержавеющий сплав</t>
  </si>
  <si>
    <t>УТ-00042243</t>
  </si>
  <si>
    <t>РС40-45-С-Ф1-IP68 Расходомер Питерфлоу РС, класс С, фланцы (-Ф1), нержавеющий сплав</t>
  </si>
  <si>
    <t>УТ-00042244</t>
  </si>
  <si>
    <t>РС50-36-С-Ф1-IP68 Расходомер Питерфлоу РС, класс С, фланцы (-Ф1), нержавеющий сплав</t>
  </si>
  <si>
    <t>УТ-00042245</t>
  </si>
  <si>
    <t>РС50-72-С-Ф1-IP68 Расходомер Питерфлоу РС, класс С, фланцы (-Ф1), нержавеющий сплав</t>
  </si>
  <si>
    <t>УТ-00042246</t>
  </si>
  <si>
    <t>РС65-60-С-Ф1-IP68 Расходомер Питерфлоу РС, класс С, фланцы (-Ф1), нержавеющий сплав</t>
  </si>
  <si>
    <t>УТ-00042247</t>
  </si>
  <si>
    <t>РС80-90-С-Ф1-IP68 Расходомер Питерфлоу РС, класс С, фланцы (-Ф1), нержавеющий сплав</t>
  </si>
  <si>
    <t>УТ-00042248</t>
  </si>
  <si>
    <t>РС100-140-С-Ф1-IP68 Расходомер Питерфлоу РС, класс С, фланцы (-Ф1), нержавеющий сплав</t>
  </si>
  <si>
    <t>УТ-00042249</t>
  </si>
  <si>
    <t>РС100-280-С-Ф1-IP68 Расходомер Питерфлоу РС, класс С, фланцы (-Ф1), нержавеющий сплав</t>
  </si>
  <si>
    <t>УТ-00042250</t>
  </si>
  <si>
    <t>РС150-630-В-ФЕ-Р25-IP68 Расходомер Питерфлоу РС, класс В, фланцы (-Ф), исполнение - IP68</t>
  </si>
  <si>
    <t>УТ-00042251</t>
  </si>
  <si>
    <t>РС150-630-С-ФЕ-Р25-IP68 Расходомер Питерфлоу РС, класс С, фланцы (-Ф), исполнение - IP68</t>
  </si>
  <si>
    <t>УТ-00042286</t>
  </si>
  <si>
    <t>ВЭПС-Р-32-ПБ-2-01</t>
  </si>
  <si>
    <t>УТ-00042311</t>
  </si>
  <si>
    <t>КМЧ для ВЭПС Ду32</t>
  </si>
  <si>
    <t>УТ-00042316</t>
  </si>
  <si>
    <t>ВЭПС-Р-40-ПБ-2-01</t>
  </si>
  <si>
    <t>УТ-00042317</t>
  </si>
  <si>
    <t>КМЧ для ВЭПС Ду40</t>
  </si>
  <si>
    <t>УТ-00042453</t>
  </si>
  <si>
    <t>УТ-00042454</t>
  </si>
  <si>
    <t>УТ-00042455</t>
  </si>
  <si>
    <t>УТ-00042591</t>
  </si>
  <si>
    <t xml:space="preserve">КАРАТ-307 (6V6T6P) (RS-485) Вычислитель </t>
  </si>
  <si>
    <t>УТ-00042601</t>
  </si>
  <si>
    <t>КМЧ №1 Карат-520 Ду25</t>
  </si>
  <si>
    <t>компл</t>
  </si>
  <si>
    <t>УТ-00042602</t>
  </si>
  <si>
    <t>КМЧ №1 Карат-520 Ду40</t>
  </si>
  <si>
    <t>УТ-00042603</t>
  </si>
  <si>
    <t>ВЭПС-150-ПБ-2-01</t>
  </si>
  <si>
    <t>УТ-00042622</t>
  </si>
  <si>
    <t>Карат-306 (5V4T4P) Тепловычислитель</t>
  </si>
  <si>
    <t>УТ-00042672</t>
  </si>
  <si>
    <t>РС200-1000-А-Ф-Р25-IP66 Расходомер Питерфлоу РС, класс А, фланцы (-Ф)</t>
  </si>
  <si>
    <t>УТ-00042673</t>
  </si>
  <si>
    <t>РС200-1000-В-Ф-Р25-IP66 Расходомер Питерфлоу РС, класс В, фланцы (-Ф)</t>
  </si>
  <si>
    <t>УТ-00042674</t>
  </si>
  <si>
    <t>РС200-1000-С-Ф-Р25-IP66 Расходомер Питерфлоу РС, класс С, фланцы (-Ф)</t>
  </si>
  <si>
    <t>УТ-00042677</t>
  </si>
  <si>
    <t>РС65-120-А-Ф1 Расходомер Питерфлоу РС, класс А, фланцы (-Ф1), нержавеющий сплав</t>
  </si>
  <si>
    <t>УТ-00042678</t>
  </si>
  <si>
    <t>РС65-120-В-Ф1 Расходомер Питерфлоу РС, класс В, фланцы (-Ф1), нержавеющий сплав</t>
  </si>
  <si>
    <t>УТ-00042679</t>
  </si>
  <si>
    <t>РС65-120-С-Ф1 Расходомер Питерфлоу РС, класс С, фланцы (-Ф1), нержавеющий сплав</t>
  </si>
  <si>
    <t>УТ-00042680</t>
  </si>
  <si>
    <t>РС65-120-А-Ф Расходомер Питерфлоу РС, класс А, фланцы (-Ф)</t>
  </si>
  <si>
    <t>УТ-00042681</t>
  </si>
  <si>
    <t>РС65-120-В-Ф Расходомер Питерфлоу РС, класс В, фланцы (-Ф)</t>
  </si>
  <si>
    <t>УТ-00042682</t>
  </si>
  <si>
    <t>РС65-120-С-Ф Расходомер Питерфлоу РС, класс С, фланцы (-Ф)</t>
  </si>
  <si>
    <t>УТ-00042683</t>
  </si>
  <si>
    <t>РС65-120-А-Ф1-IP68 Расходомер Питерфлоу РС, класс А, фланцы (-Ф1), нержавеющий сплав</t>
  </si>
  <si>
    <t>УТ-00042684</t>
  </si>
  <si>
    <t>РС65-120-В-Ф1-IP68 Расходомер Питерфлоу РС, класс В, фланцы (-Ф1), нержавеющий сплав</t>
  </si>
  <si>
    <t>УТ-00042685</t>
  </si>
  <si>
    <t>РС65-120-С-Ф1-IP68 Расходомер Питерфлоу РС, класс С, фланцы (-Ф1), нержавеющий сплав</t>
  </si>
  <si>
    <t>УТ-00042686</t>
  </si>
  <si>
    <t>РС80-180-А-Ф1 Расходомер Питерфлоу РС, класс А, фланцы (-Ф1), нержавеющий сплав</t>
  </si>
  <si>
    <t>УТ-00042687</t>
  </si>
  <si>
    <t>РС80-180-В-Ф1 Расходомер Питерфлоу РС, класс В, фланцы (-Ф1), нержавеющий сплав</t>
  </si>
  <si>
    <t>УТ-00042688</t>
  </si>
  <si>
    <t>РС80-180-С-Ф1 Расходомер Питерфлоу РС, класс С, фланцы (-Ф1), нержавеющий сплав</t>
  </si>
  <si>
    <t>УТ-00042689</t>
  </si>
  <si>
    <t>РС80-180-А-Ф Расходомер Питерфлоу РС, класс А, фланцы (-Ф)</t>
  </si>
  <si>
    <t>УТ-00042690</t>
  </si>
  <si>
    <t>РС80-180-В-Ф Расходомер Питерфлоу РС, класс В, фланцы (-Ф)</t>
  </si>
  <si>
    <t>УТ-00042691</t>
  </si>
  <si>
    <t>РС80-180-С-Ф Расходомер Питерфлоу РС, класс С, фланцы (-Ф)</t>
  </si>
  <si>
    <t>УТ-00042692</t>
  </si>
  <si>
    <t>РС80-180-А-Ф1-IP68 Расходомер Питерфлоу РС, класс А, фланцы (-Ф1), нержавеющий сплав</t>
  </si>
  <si>
    <t>УТ-00042693</t>
  </si>
  <si>
    <t>РС80-180-В-Ф1-IP68 Расходомер Питерфлоу РС, класс В, фланцы (-Ф1), нержавеющий сплав</t>
  </si>
  <si>
    <t>УТ-00042694</t>
  </si>
  <si>
    <t>РС80-180-С-Ф1-IP68 Расходомер Питерфлоу РС, класс С, фланцы (-Ф1), нержавеющий сплав</t>
  </si>
  <si>
    <t>УТ-00042701</t>
  </si>
  <si>
    <t>ВЭПС-Р-100-ПБ-2-01</t>
  </si>
  <si>
    <t>УТ-00042702</t>
  </si>
  <si>
    <t>ВЭПС-200-ПБ-2-01</t>
  </si>
  <si>
    <t>УТ-00042703</t>
  </si>
  <si>
    <t>ВЭПС-250-ПБ-2-01</t>
  </si>
  <si>
    <t>УТ-00042705</t>
  </si>
  <si>
    <t>ВЭПС-Р-20-ПБ-1-01</t>
  </si>
  <si>
    <t>УТ-00042706</t>
  </si>
  <si>
    <t>ВЭПС-Р-25-ПБ-1-01</t>
  </si>
  <si>
    <t>УТ-00042707</t>
  </si>
  <si>
    <t>ВЭПС-Р-32-ПБ-1-01</t>
  </si>
  <si>
    <t>УТ-00042708</t>
  </si>
  <si>
    <t>ВЭПС-Р-40-ПБ-1-01</t>
  </si>
  <si>
    <t>УТ-00042709</t>
  </si>
  <si>
    <t>ВЭПС-Р-50-ПБ-1-01</t>
  </si>
  <si>
    <t>УТ-00042710</t>
  </si>
  <si>
    <t>ВЭПС-Р-80-ПБ-1-01</t>
  </si>
  <si>
    <t>УТ-00042711</t>
  </si>
  <si>
    <t>ВЭПС-Р-100-ПБ-1-01</t>
  </si>
  <si>
    <t>УТ-00042712</t>
  </si>
  <si>
    <t>ВЭПС-150-ПБ-1-01</t>
  </si>
  <si>
    <t>УТ-00042713</t>
  </si>
  <si>
    <t>ВЭПС-200-ПБ-1-01</t>
  </si>
  <si>
    <t>УТ-00042714</t>
  </si>
  <si>
    <t>ВЭПС-250-ПБ-1-01</t>
  </si>
  <si>
    <t>УТ-00042715</t>
  </si>
  <si>
    <t>ВЭПС-300-ПБ-1-01</t>
  </si>
  <si>
    <t>УТ-00042743</t>
  </si>
  <si>
    <t>ПРАМЕР-550-В-Р Ду15</t>
  </si>
  <si>
    <t>УТ-00042744</t>
  </si>
  <si>
    <t>ПРАМЕР-550-В-Р Ду20 (сэндвич)</t>
  </si>
  <si>
    <t>УТ-00042745</t>
  </si>
  <si>
    <t>ПРАМЕР-550-В-Р Ду25</t>
  </si>
  <si>
    <t>УТ-00042746</t>
  </si>
  <si>
    <t>ПРАМЕР-550-В-Р Ду32 (сэндвич)</t>
  </si>
  <si>
    <t>УТ-00042747</t>
  </si>
  <si>
    <t>ПРАМЕР-550-В-Р Ду32</t>
  </si>
  <si>
    <t>УТ-00042748</t>
  </si>
  <si>
    <t>ПРАМЕР-550-В-Р Ду40</t>
  </si>
  <si>
    <t>УТ-00042749</t>
  </si>
  <si>
    <t>ПРАМЕР-550-В-Р Ду50 (сэндвич)</t>
  </si>
  <si>
    <t>УТ-00042750</t>
  </si>
  <si>
    <t>ПРАМЕР-550-В-Р Ду50</t>
  </si>
  <si>
    <t>УТ-00042751</t>
  </si>
  <si>
    <t>ПРАМЕР-550-В-Р Ду65</t>
  </si>
  <si>
    <t>УТ-00042752</t>
  </si>
  <si>
    <t>ПРАМЕР-550-В-Р Ду80</t>
  </si>
  <si>
    <t>УТ-00042753</t>
  </si>
  <si>
    <t>ПРАМЕР-550-В-Р Ду100</t>
  </si>
  <si>
    <t>УТ-00042754</t>
  </si>
  <si>
    <t>ПРАМЕР-550-В-Р Ду150</t>
  </si>
  <si>
    <t>УТ-00042812</t>
  </si>
  <si>
    <t>КМЧ для ВЭПС Ду50</t>
  </si>
  <si>
    <t>УТ-00042813</t>
  </si>
  <si>
    <t>КМЧ для ВЭПС Ду80</t>
  </si>
  <si>
    <t>УТ-00096553</t>
  </si>
  <si>
    <t>КМЧ №1 Карат-520 Ду20</t>
  </si>
  <si>
    <t>УТ-00096554</t>
  </si>
  <si>
    <t>КМЧ №1 Карат-520 Ду32</t>
  </si>
  <si>
    <t>УТ-00096557</t>
  </si>
  <si>
    <t>Монтажная вставка Карат-520 Ду25</t>
  </si>
  <si>
    <t>УТ-00096558</t>
  </si>
  <si>
    <t>Монтажная вставка Карат-520 Ду32</t>
  </si>
  <si>
    <t>УТ-00096559</t>
  </si>
  <si>
    <t>Монтажная вставка Карат-520 Ду40</t>
  </si>
  <si>
    <t>УТ-00096597</t>
  </si>
  <si>
    <t>Монтажная вставка Карат-551 Ду20</t>
  </si>
  <si>
    <t>УТ-00096598</t>
  </si>
  <si>
    <t>Монтажная вставка Карат-551 Ду25</t>
  </si>
  <si>
    <t>УТ-00096599</t>
  </si>
  <si>
    <t>Монтажная вставка Карат-551 Ду32</t>
  </si>
  <si>
    <t>УТ-00096600</t>
  </si>
  <si>
    <t>Монтажная вставка Карат-551 Ду40</t>
  </si>
  <si>
    <t>УТ-00096601</t>
  </si>
  <si>
    <t>Монтажная вставка Карат-551 Ду50</t>
  </si>
  <si>
    <t>УТ-00096602</t>
  </si>
  <si>
    <t>Монтажная вставка Карат-551 Ду65</t>
  </si>
  <si>
    <t>УТ-00096603</t>
  </si>
  <si>
    <t>Монтажная вставка Карат-551 Ду80</t>
  </si>
  <si>
    <t>УТ-00096604</t>
  </si>
  <si>
    <t>Монтажная вставка Карат-551 Ду100</t>
  </si>
  <si>
    <t>УТ-00096605</t>
  </si>
  <si>
    <t>Монтажная вставка Карат-551 Ду150</t>
  </si>
  <si>
    <t>УТ-00096622</t>
  </si>
  <si>
    <t>Карат-520-20-1, резьбовое соединение</t>
  </si>
  <si>
    <t>УТ-00096707</t>
  </si>
  <si>
    <t>ТВ7-01М Тепловычислитель</t>
  </si>
  <si>
    <t>УТ-00096708</t>
  </si>
  <si>
    <t>ТВ7-03М Тепловычислитель</t>
  </si>
  <si>
    <t>УТ-00096709</t>
  </si>
  <si>
    <t>ТВ7-04М Тепловычислитель</t>
  </si>
  <si>
    <t>УТ-00096710</t>
  </si>
  <si>
    <t>ТВ7-04.1М Тепловычислитель</t>
  </si>
  <si>
    <t>УТ-00096712</t>
  </si>
  <si>
    <t>ТВ7-01М (С) Тепловычислитель</t>
  </si>
  <si>
    <t>УТ-00096713</t>
  </si>
  <si>
    <t>ТВ7-03М (С) Тепловычислитель</t>
  </si>
  <si>
    <t>УТ-00096714</t>
  </si>
  <si>
    <t>ТВ7-04М (С) Тепловычислитель</t>
  </si>
  <si>
    <t>УТ-00096716</t>
  </si>
  <si>
    <t>ТВ7-05М (С) Тепловычислитель</t>
  </si>
  <si>
    <t>УТ-00096753</t>
  </si>
  <si>
    <t>Адаптер Ethernet для ТВ7-М</t>
  </si>
  <si>
    <t>УТ-00096754</t>
  </si>
  <si>
    <t>Адаптер RS-485 для ТВ7-М</t>
  </si>
  <si>
    <t>УТ-00096756</t>
  </si>
  <si>
    <t>СПТ940 Тепловычислитель</t>
  </si>
  <si>
    <t>УТ-00096764</t>
  </si>
  <si>
    <t>МФ-15 (5.2.2) класс Б (имп 0,001)</t>
  </si>
  <si>
    <t>УТ-00096765</t>
  </si>
  <si>
    <t>МФ-32 (5.2.2) класс Б (имп 0,001)</t>
  </si>
  <si>
    <t>УТ-00096766</t>
  </si>
  <si>
    <t>МФ-40 (5.2.2) класс Б (имп 0,01)</t>
  </si>
  <si>
    <t>УТ-00096767</t>
  </si>
  <si>
    <t>МФ-50 (5.2.2) класс Б (имп 0,01)</t>
  </si>
  <si>
    <t>УТ-00096768</t>
  </si>
  <si>
    <t>МФ-80 (5.2.2) класс Б (имп 0,01)</t>
  </si>
  <si>
    <t>УТ-00096769</t>
  </si>
  <si>
    <t>МФ-150 (5.2.2) класс Б (имп 0,1)</t>
  </si>
  <si>
    <t>УТ-00096770</t>
  </si>
  <si>
    <t>МФ-200 (5.2.2) класс Б (имп 0,1)</t>
  </si>
  <si>
    <t>УТ-00096792</t>
  </si>
  <si>
    <t>МФ-25 (5.2.2) класс Б (имп 0,001)</t>
  </si>
  <si>
    <t>УТ-00096793</t>
  </si>
  <si>
    <t>МФ-100 (5.2.2) класс Б (имп 0,01)</t>
  </si>
  <si>
    <t>УТ-00096816</t>
  </si>
  <si>
    <t>ЭРСВ-440Ф В Ду150</t>
  </si>
  <si>
    <t>УТ-00096817</t>
  </si>
  <si>
    <t>ЭРСВ-440Ф В Ду32</t>
  </si>
  <si>
    <t>УТ-00096818</t>
  </si>
  <si>
    <t>ЭРСВ-440Ф В Ду25</t>
  </si>
  <si>
    <t>УТ-00096819</t>
  </si>
  <si>
    <t>ТСРВ-043 Тепловычислитель</t>
  </si>
  <si>
    <t>УТ-00096820</t>
  </si>
  <si>
    <t>ЭРСВ-440Л В Ду25</t>
  </si>
  <si>
    <t>УТ-00096821</t>
  </si>
  <si>
    <t>ЭРСВ-440Л В Ду100</t>
  </si>
  <si>
    <t>УТ-00096822</t>
  </si>
  <si>
    <t>ЭРСВ-440Л В Ду150</t>
  </si>
  <si>
    <t>УТ-00096835</t>
  </si>
  <si>
    <t>Комплект арматуры к ЭРСВ №1 Ду150 (Ф)</t>
  </si>
  <si>
    <t>УТ-00096836</t>
  </si>
  <si>
    <t>Комплект арматуры к ЭРСВ №1 Ду32 (Ф)</t>
  </si>
  <si>
    <t>УТ-00096837</t>
  </si>
  <si>
    <t>Комплект арматуры к ЭРСВ №1 Ду25 (Ф)</t>
  </si>
  <si>
    <t>УТ-00096838</t>
  </si>
  <si>
    <t>Комплект арматуры к ЭРСВ №1 Ду15 (Л)</t>
  </si>
  <si>
    <t>УТ-00096841</t>
  </si>
  <si>
    <t>АДР260 Адаптер</t>
  </si>
  <si>
    <t>УТ-00096842</t>
  </si>
  <si>
    <t>ИЭН6-120015 Источник питания для ТВ7</t>
  </si>
  <si>
    <t>УТ-00096872</t>
  </si>
  <si>
    <t>УТ-00096873</t>
  </si>
  <si>
    <t>УТ-00096874</t>
  </si>
  <si>
    <t>УТ-00096878</t>
  </si>
  <si>
    <t>УТ-00096897</t>
  </si>
  <si>
    <t>ЭРСВ-440Ф В Ду300</t>
  </si>
  <si>
    <t>УТ-00096898</t>
  </si>
  <si>
    <t>Комплект арматуры к ЭРСВ №1 Ду300 (Ф)</t>
  </si>
  <si>
    <t>УТ-00096899</t>
  </si>
  <si>
    <t>Комплект арматуры к ЭРСВ №1 Ду40 (Ф)</t>
  </si>
  <si>
    <t>УТ-00096903</t>
  </si>
  <si>
    <t>Комплект арматуры к ЭРСВ №1 Ду10 (Л)</t>
  </si>
  <si>
    <t>УТ-00096937</t>
  </si>
  <si>
    <t>УТ-00096953</t>
  </si>
  <si>
    <t>УТ-00099445</t>
  </si>
  <si>
    <t>Карат-306 (5V2T0P) Тепловычислитель</t>
  </si>
  <si>
    <t>УТ-00099458</t>
  </si>
  <si>
    <t>МФ-20 (5.2.2) класс Б (имп 0,001)</t>
  </si>
  <si>
    <t>УТ-00099459</t>
  </si>
  <si>
    <t>МФ-65 (5.2.2) класс Б (имп 0,01)</t>
  </si>
  <si>
    <t>УТ-00099460</t>
  </si>
  <si>
    <t>МФ-300 (5.2.2) класс Б (имп 0,1)</t>
  </si>
  <si>
    <t>УТ-00099580</t>
  </si>
  <si>
    <t>Комплект арматуры к ЭРСВ №1 Ду80 (Л)</t>
  </si>
  <si>
    <t>УТ-00099639</t>
  </si>
  <si>
    <t>Комплект арматуры к ЭРСВ №1 Ду100 (Л)</t>
  </si>
  <si>
    <t>УТ-00099640</t>
  </si>
  <si>
    <t>Комплект арматуры к ЭРСВ №1 Ду20 (Ф)</t>
  </si>
  <si>
    <t>УТ-00099641</t>
  </si>
  <si>
    <t>Комплект арматуры к ЭРСВ №1 Ду50 (Ф)</t>
  </si>
  <si>
    <t>УТ-00099642</t>
  </si>
  <si>
    <t>Комплект арматуры к ЭРСВ №1 Ду80 (Ф)</t>
  </si>
  <si>
    <t>УТ-00099800</t>
  </si>
  <si>
    <t>РС40-22-А-С Расходомер Питерфлоу РС, класс А, сэндвич (-С)</t>
  </si>
  <si>
    <t>УТ-00099801</t>
  </si>
  <si>
    <t>РС40-22-В-С Расходомер Питерфлоу РС, класс В, сэндвич (-С)</t>
  </si>
  <si>
    <t>УТ-00099802</t>
  </si>
  <si>
    <t>РС40-22-С-С Расходомер Питерфлоу РС, класс С, сэндвич (-С)</t>
  </si>
  <si>
    <t>УТ-00099803</t>
  </si>
  <si>
    <t>РС40-45-А-С Расходомер Питерфлоу РС, класс А, сэндвич (-С)</t>
  </si>
  <si>
    <t>УТ-00099804</t>
  </si>
  <si>
    <t>РС40-45-В-С Расходомер Питерфлоу РС, класс В, сэндвич (-С)</t>
  </si>
  <si>
    <t>УТ-00099805</t>
  </si>
  <si>
    <t>РС40-45-С-С Расходомер Питерфлоу РС, класс С, сэндвич (-С)</t>
  </si>
  <si>
    <t>УТ-00099806</t>
  </si>
  <si>
    <t>Модуль RS-485 "КАРАТ"</t>
  </si>
  <si>
    <t>УТ-00099862</t>
  </si>
  <si>
    <t>УТ-00099919</t>
  </si>
  <si>
    <t>ТСРВ-042 Тепловычислитель</t>
  </si>
  <si>
    <t>УТ-00099928</t>
  </si>
  <si>
    <t>УТ-00099929</t>
  </si>
  <si>
    <t>УТ-00099980</t>
  </si>
  <si>
    <t>Комплект арматуры к ЭРСВ №1 Ду40 (Л)</t>
  </si>
  <si>
    <t>УТ-00099982</t>
  </si>
  <si>
    <t xml:space="preserve">КАРАТ-308 (6V6T6P) (RS-485) Вычислитель </t>
  </si>
  <si>
    <t>УТ-00100005</t>
  </si>
  <si>
    <t>УТ-00100009</t>
  </si>
  <si>
    <t>Комплект арматуры к ЭРСВ №1 Ду32 (Л)</t>
  </si>
  <si>
    <t>УТ-00100010</t>
  </si>
  <si>
    <t>Комплект арматуры к ЭРСВ №1 Ду65 (Л)</t>
  </si>
  <si>
    <t>УТ-00100023</t>
  </si>
  <si>
    <t>УТ-00100045</t>
  </si>
  <si>
    <t>ЭРСВ-440Л В Ду80</t>
  </si>
  <si>
    <t>УТ-00104709</t>
  </si>
  <si>
    <t>РС25-9-В-С Расходомер Питерфлоу РС, класс В, сэндвич (-С)</t>
  </si>
  <si>
    <t>УТ-00104783</t>
  </si>
  <si>
    <t>РС25-18-А-С Расходомер Питерфлоу РС, класс А, сэндвич (-С)</t>
  </si>
  <si>
    <t>УТ-00104892</t>
  </si>
  <si>
    <t>Комплект арматуры к ЭРСВ №1 Ду65 (Ф)</t>
  </si>
  <si>
    <t>УТ-00104920</t>
  </si>
  <si>
    <t>Комплект арматуры к ЭРСВ №1 Ду150 (Л)</t>
  </si>
  <si>
    <t>УТ-00104923</t>
  </si>
  <si>
    <t>Комплект арматуры к ЭРСВ №1 Ду20 (Л)</t>
  </si>
  <si>
    <t>УТ-00113656</t>
  </si>
  <si>
    <t>РС25-18-В-С Расходомер Питерфлоу РС, класс В, сэндвич (-С)</t>
  </si>
  <si>
    <t>УТ-00113657</t>
  </si>
  <si>
    <t>РС25-18-С-С Расходомер Питерфлоу РС, класс С, сэндвич (-С)</t>
  </si>
  <si>
    <t>УТ-00113658</t>
  </si>
  <si>
    <t>РС25-9-А-С Расходомер Питерфлоу РС, класс А, сэндвич (-С)</t>
  </si>
  <si>
    <t>УТ-00113659</t>
  </si>
  <si>
    <t>РС25-9-С-С Расходомер Питерфлоу РС, класс С, сэндвич (-С)</t>
  </si>
  <si>
    <t>УТ-00113791</t>
  </si>
  <si>
    <t>ТВ7-04.1-M-Lite-БП-AA Тепловычислитель</t>
  </si>
  <si>
    <t>УТ-00113792</t>
  </si>
  <si>
    <t>ТВ7-04.1-M-Lite-C Тепловычислитель</t>
  </si>
  <si>
    <t>УТ-00114497</t>
  </si>
  <si>
    <t>МФ-32 (8.2.2) класс Б (сэндвич)</t>
  </si>
  <si>
    <t>УТ-00114498</t>
  </si>
  <si>
    <t>МФ-50 (8.2.2) класс Б (сэндвич)</t>
  </si>
  <si>
    <t>УТ-00114518</t>
  </si>
  <si>
    <t>Модуль RS-232 для Эльф, Карат-306</t>
  </si>
  <si>
    <t>УТ-00114564</t>
  </si>
  <si>
    <t>УТ-00114577</t>
  </si>
  <si>
    <t>Расходомер Карат-551М-100</t>
  </si>
  <si>
    <t>УТ-00114581</t>
  </si>
  <si>
    <t>Расходомер Карат-551М-150</t>
  </si>
  <si>
    <t>УТ-00114585</t>
  </si>
  <si>
    <t>Расходомер Карат-551М-20-0</t>
  </si>
  <si>
    <t>УТ-00114589</t>
  </si>
  <si>
    <t>Расходомер Карат-551М-25</t>
  </si>
  <si>
    <t>УТ-00114593</t>
  </si>
  <si>
    <t>Расходомер Карат-551М-32-0</t>
  </si>
  <si>
    <t>УТ-00114597</t>
  </si>
  <si>
    <t>Расходомер Карат-551М-40</t>
  </si>
  <si>
    <t>УТ-00114601</t>
  </si>
  <si>
    <t>Расходомер Карат-551М-50</t>
  </si>
  <si>
    <t>УТ-00114605</t>
  </si>
  <si>
    <t>Расходомер Карат-551М-65</t>
  </si>
  <si>
    <t>УТ-00114609</t>
  </si>
  <si>
    <t>Расходомер Карат-551М-80</t>
  </si>
  <si>
    <t>УТ-00117147</t>
  </si>
  <si>
    <t>ВПС2-ЧИ2.56-40-0,01</t>
  </si>
  <si>
    <t>УТ-00117148</t>
  </si>
  <si>
    <t>ВПС2-ЧИ2.56-65-0,1</t>
  </si>
  <si>
    <t>УТ-00117157</t>
  </si>
  <si>
    <t>ВПС1-ЧИ2.56-25-0,01</t>
  </si>
  <si>
    <t>УТ-00117158</t>
  </si>
  <si>
    <t>ВПС2-ЧИ2.56-25-0,01</t>
  </si>
  <si>
    <t>УТ-00117159</t>
  </si>
  <si>
    <t>ВПС1-ЧИ2.56-32-0,01</t>
  </si>
  <si>
    <t>УТ-00117160</t>
  </si>
  <si>
    <t>ВПС2-ЧИ2.56-32-0,01</t>
  </si>
  <si>
    <t>УТ-00117161</t>
  </si>
  <si>
    <t>ВПС1-ЧИ2.56-40-0,01</t>
  </si>
  <si>
    <t>УТ-00117162</t>
  </si>
  <si>
    <t>ВПС1-ЧИ2.56-50-0,1</t>
  </si>
  <si>
    <t>УТ-00117163</t>
  </si>
  <si>
    <t>ВПС2-ЧИ2.56-50-0,1</t>
  </si>
  <si>
    <t>УТ-00117164</t>
  </si>
  <si>
    <t>ВПС1-ЧИ2.56-65-0,1</t>
  </si>
  <si>
    <t>УТ-00117165</t>
  </si>
  <si>
    <t>ВПС1-ЧИ2.56-80-0,1</t>
  </si>
  <si>
    <t>УТ-00117166</t>
  </si>
  <si>
    <t>ВПС2-ЧИ2.56-80-0,1</t>
  </si>
  <si>
    <t>УТ-00117167</t>
  </si>
  <si>
    <t>ВПС1-ЧИ2.56-100-0,1</t>
  </si>
  <si>
    <t>УТ-00117168</t>
  </si>
  <si>
    <t>ВПС2-ЧИ2.56-100-0,1</t>
  </si>
  <si>
    <t>УТ-00117169</t>
  </si>
  <si>
    <t>ВПС1-ЧИ2.56-150-1,0</t>
  </si>
  <si>
    <t>УТ-00117170</t>
  </si>
  <si>
    <t>ВПС2-ЧИ2.56-150-1,0</t>
  </si>
  <si>
    <t>УТ-00124420</t>
  </si>
  <si>
    <t>Модуль RS-232 Взлет</t>
  </si>
  <si>
    <t>УТ-00124455</t>
  </si>
  <si>
    <t>ЭРСВ-470Л В Ду32</t>
  </si>
  <si>
    <t>УТ-00139297</t>
  </si>
  <si>
    <t>Монтажный комплект №2 к ПРЭМ-Ф Ду100 1,6 МПа (ГП)</t>
  </si>
  <si>
    <t>УТ-00170220</t>
  </si>
  <si>
    <t>Монтажный комплект №3 к ПРЭМ-Ф Ду25 (ГП)</t>
  </si>
  <si>
    <t>УТ-00176245</t>
  </si>
  <si>
    <t>Имитатор габаритный ИПФ ду 15</t>
  </si>
  <si>
    <t>О</t>
  </si>
  <si>
    <t>ПРАЙС-ЛИСТ ГИГАТЕРМ (09.04.2024 12:42:01)</t>
  </si>
  <si>
    <t>СТВХ-50 "СТРИМ" Класс "С" ДГ2 (IP68)</t>
  </si>
  <si>
    <t>СТВХ-50 "СТРИМ" Класс "С" (IP68)</t>
  </si>
  <si>
    <t>СТВХ-80 УК (270 мм) (IP68)</t>
  </si>
  <si>
    <t>СТВХ-80 УК ДГ1 (270 мм) (IP68)</t>
  </si>
  <si>
    <t>СТВХ-80 "СТРИМ" Класс "С" ДГ2 (IP68)</t>
  </si>
  <si>
    <t>СТВХ-80 "СТРИМ" Класс "С" (IP68)</t>
  </si>
  <si>
    <t>СТВХ-150</t>
  </si>
  <si>
    <t>СТВХ-150 ДГ1</t>
  </si>
  <si>
    <t>СТВХ-150 "СТРИМ" Класс "С" ДГ2 (IP68)</t>
  </si>
  <si>
    <t>СТВХ-150 "СТРИМ" Класс "С" (IP68)</t>
  </si>
  <si>
    <t>СТВХ-200</t>
  </si>
  <si>
    <t>СТВХ-200 ДГ1</t>
  </si>
  <si>
    <t>СТВХ-200 "СТРИМ" Класс "С" ДГ2 (IP68)</t>
  </si>
  <si>
    <t>СТВХ-65</t>
  </si>
  <si>
    <t>СТВХ-65 ДГ1</t>
  </si>
  <si>
    <t>СТВХ-65 УК (260 мм) (IP68)</t>
  </si>
  <si>
    <t>СТВХ-65 УК ДГ1 (260 мм) (IP68)</t>
  </si>
  <si>
    <t>СТВХ-65 "СТРИМ" Класс "С" (IP68)</t>
  </si>
  <si>
    <t>СТВХ-65 "СТРИМ" Класс "С" ДГ2 (IP68)</t>
  </si>
  <si>
    <t>СТВХ-100 УК (300 мм) (IP68)</t>
  </si>
  <si>
    <t>СТВХ-100 УК ДГ1 (300 мм) (IP68)</t>
  </si>
  <si>
    <t>СТВХ-100 "СТРИМ" Класс "С" ДГ2 (IP68)</t>
  </si>
  <si>
    <t>СТВХ-100 "СТРИМ" Класс "С" (IP68)</t>
  </si>
  <si>
    <t>СТВХ-50 "СТРИМ" Класс "С" МИД И (IP68)</t>
  </si>
  <si>
    <t>СТВХ-65 "СТРИМ" Класс "С" МИД И (IP68)</t>
  </si>
  <si>
    <t>СТВХ-80 "СТРИМ" Класс "С" МИД И (IP68)</t>
  </si>
  <si>
    <t>СТВХ-100 "СТРИМ" Класс "С" МИД И (IP68)</t>
  </si>
  <si>
    <t>СТВХ-150 "СТРИМ" Класс "С" МИД И (IP68)</t>
  </si>
  <si>
    <t>СТВХ-200 "СТРИМ" Класс "С" МИД И (IP68)</t>
  </si>
  <si>
    <t>СТВХ-50</t>
  </si>
  <si>
    <t>СТВХ-80</t>
  </si>
  <si>
    <t>СТВХ-80 ДГ1</t>
  </si>
  <si>
    <t>СТВХ-100 ДГ1</t>
  </si>
  <si>
    <t>СТВХ-100</t>
  </si>
  <si>
    <t>СТВХ-50 ДГ1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</si>
</sst>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\ _₽"/>
    <numFmt numFmtId="165" formatCode="#,##0.00_ ;\-#,##0.00\ "/>
    <numFmt numFmtId="166" formatCode="0.000"/>
    <numFmt numFmtId="167" formatCode="#,##0.00\ [$€-1]"/>
    <numFmt numFmtId="168" formatCode="0.0"/>
  </numFmts>
  <fonts count="33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7"/>
      <color rgb="FF00000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1E1E1E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color indexed="63"/>
      <name val="Calibri"/>
      <family val="2"/>
      <charset val="204"/>
      <scheme val="minor"/>
    </font>
    <font>
      <b/>
      <sz val="10"/>
      <color indexed="63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3B7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3DADF"/>
        <bgColor indexed="64"/>
      </patternFill>
    </fill>
    <fill>
      <patternFill patternType="solid">
        <fgColor rgb="FFFFB9B9"/>
        <bgColor indexed="64"/>
      </patternFill>
    </fill>
  </fills>
  <borders count="5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9" fillId="0" borderId="0"/>
    <xf numFmtId="0" fontId="24" fillId="0" borderId="0"/>
    <xf numFmtId="0" fontId="25" fillId="0" borderId="0"/>
    <xf numFmtId="0" fontId="29" fillId="0" borderId="0" applyNumberFormat="0" applyFill="0" applyBorder="0" applyAlignment="0" applyProtection="0"/>
    <xf numFmtId="0" fontId="24" fillId="0" borderId="0"/>
  </cellStyleXfs>
  <cellXfs count="749">
    <xf numFmtId="0" fontId="0" fillId="0" borderId="0" xfId="0"/>
    <xf numFmtId="0" fontId="1" fillId="0" borderId="0" xfId="0" applyFont="1" applyFill="1" applyBorder="1" applyAlignment="1">
      <alignment vertical="top" wrapText="1"/>
    </xf>
    <xf numFmtId="0" fontId="1" fillId="2" borderId="0" xfId="0" applyFont="1" applyFill="1"/>
    <xf numFmtId="0" fontId="3" fillId="0" borderId="0" xfId="0" applyFont="1" applyFill="1"/>
    <xf numFmtId="0" fontId="5" fillId="0" borderId="0" xfId="0" applyFont="1"/>
    <xf numFmtId="0" fontId="5" fillId="0" borderId="0" xfId="0" applyFont="1" applyBorder="1" applyAlignment="1">
      <alignment vertical="top" wrapText="1"/>
    </xf>
    <xf numFmtId="3" fontId="6" fillId="0" borderId="0" xfId="0" applyNumberFormat="1" applyFont="1" applyFill="1" applyBorder="1" applyAlignment="1">
      <alignment horizontal="right" vertical="top"/>
    </xf>
    <xf numFmtId="0" fontId="5" fillId="0" borderId="0" xfId="0" applyFont="1" applyFill="1" applyBorder="1"/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vertical="top" wrapText="1"/>
    </xf>
    <xf numFmtId="3" fontId="4" fillId="2" borderId="0" xfId="0" applyNumberFormat="1" applyFont="1" applyFill="1" applyBorder="1" applyAlignment="1">
      <alignment horizontal="right" vertical="top"/>
    </xf>
    <xf numFmtId="0" fontId="3" fillId="2" borderId="0" xfId="0" applyFont="1" applyFill="1" applyBorder="1"/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 wrapText="1"/>
    </xf>
    <xf numFmtId="3" fontId="4" fillId="0" borderId="0" xfId="0" applyNumberFormat="1" applyFont="1" applyFill="1" applyBorder="1" applyAlignment="1">
      <alignment horizontal="right" vertical="top"/>
    </xf>
    <xf numFmtId="0" fontId="3" fillId="0" borderId="0" xfId="0" applyFont="1" applyFill="1" applyBorder="1"/>
    <xf numFmtId="0" fontId="5" fillId="0" borderId="0" xfId="0" applyFont="1" applyFill="1" applyBorder="1" applyAlignment="1">
      <alignment horizontal="center" vertical="top" wrapText="1"/>
    </xf>
    <xf numFmtId="0" fontId="1" fillId="0" borderId="0" xfId="0" applyFont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vertical="top"/>
    </xf>
    <xf numFmtId="0" fontId="6" fillId="0" borderId="0" xfId="0" applyFont="1" applyFill="1"/>
    <xf numFmtId="0" fontId="0" fillId="0" borderId="0" xfId="0" applyFont="1" applyBorder="1"/>
    <xf numFmtId="0" fontId="5" fillId="2" borderId="0" xfId="0" applyFont="1" applyFill="1" applyBorder="1"/>
    <xf numFmtId="0" fontId="1" fillId="0" borderId="0" xfId="0" applyFont="1" applyFill="1" applyBorder="1"/>
    <xf numFmtId="0" fontId="5" fillId="2" borderId="0" xfId="0" applyFont="1" applyFill="1"/>
    <xf numFmtId="0" fontId="6" fillId="2" borderId="0" xfId="0" applyFont="1" applyFill="1"/>
    <xf numFmtId="0" fontId="3" fillId="2" borderId="0" xfId="0" applyFont="1" applyFill="1" applyBorder="1" applyAlignment="1">
      <alignment horizontal="left" vertical="top" wrapText="1"/>
    </xf>
    <xf numFmtId="3" fontId="3" fillId="2" borderId="0" xfId="0" applyNumberFormat="1" applyFont="1" applyFill="1" applyBorder="1" applyAlignment="1">
      <alignment horizontal="right" vertical="top"/>
    </xf>
    <xf numFmtId="0" fontId="1" fillId="0" borderId="0" xfId="0" applyFont="1"/>
    <xf numFmtId="0" fontId="6" fillId="0" borderId="0" xfId="0" applyFont="1" applyFill="1" applyBorder="1" applyAlignment="1">
      <alignment horizontal="left" vertical="top" wrapText="1"/>
    </xf>
    <xf numFmtId="0" fontId="3" fillId="0" borderId="0" xfId="0" applyFont="1" applyBorder="1"/>
    <xf numFmtId="0" fontId="7" fillId="0" borderId="0" xfId="0" applyFont="1" applyBorder="1"/>
    <xf numFmtId="0" fontId="7" fillId="0" borderId="0" xfId="0" applyFont="1" applyFill="1" applyBorder="1"/>
    <xf numFmtId="0" fontId="1" fillId="0" borderId="0" xfId="0" applyFont="1" applyFill="1"/>
    <xf numFmtId="0" fontId="1" fillId="0" borderId="0" xfId="0" applyFont="1" applyBorder="1" applyAlignment="1">
      <alignment vertical="top" wrapText="1"/>
    </xf>
    <xf numFmtId="0" fontId="2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/>
    <xf numFmtId="0" fontId="11" fillId="0" borderId="0" xfId="0" applyFont="1" applyFill="1"/>
    <xf numFmtId="0" fontId="11" fillId="0" borderId="0" xfId="0" applyFont="1"/>
    <xf numFmtId="0" fontId="16" fillId="0" borderId="1" xfId="0" applyFont="1" applyBorder="1"/>
    <xf numFmtId="0" fontId="11" fillId="0" borderId="0" xfId="0" applyFont="1" applyBorder="1"/>
    <xf numFmtId="0" fontId="16" fillId="0" borderId="0" xfId="0" applyFont="1" applyBorder="1"/>
    <xf numFmtId="0" fontId="11" fillId="0" borderId="0" xfId="0" applyFont="1" applyFill="1" applyBorder="1"/>
    <xf numFmtId="0" fontId="15" fillId="2" borderId="0" xfId="0" applyFont="1" applyFill="1" applyBorder="1"/>
    <xf numFmtId="0" fontId="12" fillId="2" borderId="0" xfId="0" applyFont="1" applyFill="1" applyBorder="1"/>
    <xf numFmtId="0" fontId="0" fillId="0" borderId="0" xfId="0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/>
    <xf numFmtId="0" fontId="18" fillId="0" borderId="0" xfId="0" applyFont="1" applyFill="1"/>
    <xf numFmtId="0" fontId="5" fillId="0" borderId="0" xfId="0" applyFont="1" applyFill="1"/>
    <xf numFmtId="0" fontId="5" fillId="0" borderId="0" xfId="0" applyFont="1" applyBorder="1"/>
    <xf numFmtId="0" fontId="6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left" vertical="top" wrapText="1"/>
    </xf>
    <xf numFmtId="3" fontId="11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22" fillId="2" borderId="0" xfId="0" applyFont="1" applyFill="1"/>
    <xf numFmtId="0" fontId="12" fillId="0" borderId="0" xfId="0" applyFont="1" applyFill="1" applyAlignment="1">
      <alignment horizontal="center" vertical="center"/>
    </xf>
    <xf numFmtId="0" fontId="5" fillId="0" borderId="0" xfId="0" applyFont="1" applyFill="1"/>
    <xf numFmtId="0" fontId="4" fillId="2" borderId="0" xfId="0" applyFont="1" applyFill="1"/>
    <xf numFmtId="0" fontId="5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7" fillId="2" borderId="0" xfId="0" applyFont="1" applyFill="1"/>
    <xf numFmtId="0" fontId="5" fillId="0" borderId="0" xfId="0" applyFont="1" applyFill="1"/>
    <xf numFmtId="0" fontId="16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/>
    <xf numFmtId="166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2" fontId="16" fillId="0" borderId="0" xfId="0" applyNumberFormat="1" applyFont="1" applyFill="1" applyBorder="1" applyAlignment="1">
      <alignment horizontal="center" vertical="center"/>
    </xf>
    <xf numFmtId="167" fontId="12" fillId="0" borderId="0" xfId="0" applyNumberFormat="1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3" fontId="5" fillId="0" borderId="0" xfId="0" applyNumberFormat="1" applyFont="1"/>
    <xf numFmtId="0" fontId="12" fillId="3" borderId="3" xfId="0" applyFont="1" applyFill="1" applyBorder="1" applyAlignment="1">
      <alignment horizontal="left"/>
    </xf>
    <xf numFmtId="0" fontId="12" fillId="3" borderId="4" xfId="0" applyFont="1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center" vertical="center" wrapText="1"/>
    </xf>
    <xf numFmtId="168" fontId="0" fillId="0" borderId="0" xfId="0" applyNumberFormat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7" fillId="3" borderId="0" xfId="0" applyFont="1" applyFill="1"/>
    <xf numFmtId="0" fontId="5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11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 wrapText="1"/>
    </xf>
    <xf numFmtId="3" fontId="3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vertical="top" wrapText="1"/>
    </xf>
    <xf numFmtId="168" fontId="0" fillId="0" borderId="0" xfId="0" applyNumberFormat="1" applyFill="1" applyAlignment="1">
      <alignment horizontal="center" vertical="center" wrapText="1"/>
    </xf>
    <xf numFmtId="0" fontId="16" fillId="0" borderId="23" xfId="0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center" vertical="center"/>
    </xf>
    <xf numFmtId="2" fontId="16" fillId="0" borderId="5" xfId="0" applyNumberFormat="1" applyFont="1" applyFill="1" applyBorder="1" applyAlignment="1">
      <alignment horizontal="center" vertical="center"/>
    </xf>
    <xf numFmtId="167" fontId="12" fillId="0" borderId="5" xfId="0" applyNumberFormat="1" applyFont="1" applyFill="1" applyBorder="1" applyAlignment="1">
      <alignment horizontal="center" vertical="center"/>
    </xf>
    <xf numFmtId="167" fontId="12" fillId="0" borderId="24" xfId="0" applyNumberFormat="1" applyFont="1" applyFill="1" applyBorder="1" applyAlignment="1">
      <alignment horizontal="center" vertical="center"/>
    </xf>
    <xf numFmtId="167" fontId="17" fillId="0" borderId="0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top"/>
    </xf>
    <xf numFmtId="0" fontId="11" fillId="0" borderId="0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5" fillId="0" borderId="0" xfId="0" applyFont="1" applyFill="1"/>
    <xf numFmtId="0" fontId="15" fillId="2" borderId="0" xfId="0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7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vertical="center" wrapText="1"/>
    </xf>
    <xf numFmtId="3" fontId="16" fillId="0" borderId="0" xfId="0" applyNumberFormat="1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3" fontId="12" fillId="2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left" vertical="top" wrapText="1"/>
    </xf>
    <xf numFmtId="0" fontId="16" fillId="0" borderId="21" xfId="0" applyFont="1" applyFill="1" applyBorder="1" applyAlignment="1">
      <alignment horizontal="left" vertical="center"/>
    </xf>
    <xf numFmtId="167" fontId="12" fillId="0" borderId="2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5" fillId="0" borderId="0" xfId="0" applyFont="1" applyFill="1" applyBorder="1" applyAlignment="1">
      <alignment horizontal="right" vertical="top" wrapText="1"/>
    </xf>
    <xf numFmtId="0" fontId="29" fillId="0" borderId="0" xfId="4" applyFill="1"/>
    <xf numFmtId="0" fontId="5" fillId="2" borderId="0" xfId="0" applyFont="1" applyFill="1" applyBorder="1" applyAlignment="1">
      <alignment horizontal="right" vertical="top" wrapText="1"/>
    </xf>
    <xf numFmtId="0" fontId="29" fillId="2" borderId="0" xfId="4" applyFill="1"/>
    <xf numFmtId="0" fontId="29" fillId="2" borderId="0" xfId="4" applyFill="1" applyBorder="1" applyAlignment="1">
      <alignment horizontal="left" vertical="center"/>
    </xf>
    <xf numFmtId="0" fontId="5" fillId="0" borderId="0" xfId="0" applyFont="1" applyBorder="1"/>
    <xf numFmtId="0" fontId="6" fillId="0" borderId="0" xfId="0" applyFont="1" applyBorder="1" applyAlignment="1">
      <alignment horizontal="center" vertical="center"/>
    </xf>
    <xf numFmtId="0" fontId="11" fillId="0" borderId="0" xfId="0" applyFont="1" applyFill="1" applyBorder="1" applyAlignment="1">
      <alignment vertical="top" wrapText="1"/>
    </xf>
    <xf numFmtId="0" fontId="5" fillId="0" borderId="0" xfId="0" applyFont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0" fontId="0" fillId="0" borderId="0" xfId="0" applyBorder="1"/>
    <xf numFmtId="0" fontId="11" fillId="0" borderId="0" xfId="0" applyFont="1" applyFill="1" applyBorder="1" applyAlignment="1">
      <alignment horizontal="center" vertical="center" wrapText="1"/>
    </xf>
    <xf numFmtId="0" fontId="1" fillId="12" borderId="0" xfId="0" applyFont="1" applyFill="1" applyBorder="1"/>
    <xf numFmtId="0" fontId="1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14" fillId="2" borderId="0" xfId="0" applyFont="1" applyFill="1" applyBorder="1" applyAlignment="1">
      <alignment horizontal="left" vertical="center"/>
    </xf>
    <xf numFmtId="0" fontId="6" fillId="2" borderId="0" xfId="0" applyFont="1" applyFill="1" applyBorder="1"/>
    <xf numFmtId="0" fontId="4" fillId="2" borderId="0" xfId="0" applyFont="1" applyFill="1" applyBorder="1"/>
    <xf numFmtId="0" fontId="1" fillId="12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12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12" borderId="0" xfId="0" applyFont="1" applyFill="1" applyBorder="1" applyAlignment="1">
      <alignment vertical="top" wrapText="1"/>
    </xf>
    <xf numFmtId="0" fontId="18" fillId="2" borderId="0" xfId="0" applyFont="1" applyFill="1" applyBorder="1"/>
    <xf numFmtId="0" fontId="18" fillId="0" borderId="0" xfId="0" applyFont="1" applyFill="1" applyBorder="1"/>
    <xf numFmtId="0" fontId="10" fillId="0" borderId="0" xfId="0" applyFont="1" applyBorder="1"/>
    <xf numFmtId="0" fontId="15" fillId="2" borderId="0" xfId="0" applyFont="1" applyFill="1" applyBorder="1" applyAlignment="1">
      <alignment horizontal="left" vertical="top"/>
    </xf>
    <xf numFmtId="0" fontId="3" fillId="2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3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12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2" fillId="3" borderId="0" xfId="0" applyFont="1" applyFill="1" applyBorder="1"/>
    <xf numFmtId="0" fontId="15" fillId="2" borderId="0" xfId="0" applyFont="1" applyFill="1" applyBorder="1" applyAlignment="1">
      <alignment vertical="center"/>
    </xf>
    <xf numFmtId="0" fontId="16" fillId="0" borderId="0" xfId="0" applyFont="1" applyFill="1" applyBorder="1"/>
    <xf numFmtId="1" fontId="11" fillId="0" borderId="0" xfId="0" applyNumberFormat="1" applyFont="1" applyBorder="1"/>
    <xf numFmtId="2" fontId="11" fillId="0" borderId="0" xfId="0" applyNumberFormat="1" applyFont="1" applyBorder="1"/>
    <xf numFmtId="0" fontId="16" fillId="0" borderId="0" xfId="0" applyFont="1" applyBorder="1" applyAlignment="1">
      <alignment horizontal="left" vertical="center"/>
    </xf>
    <xf numFmtId="0" fontId="18" fillId="2" borderId="0" xfId="0" applyFont="1" applyFill="1" applyBorder="1" applyAlignment="1">
      <alignment wrapText="1"/>
    </xf>
    <xf numFmtId="3" fontId="5" fillId="0" borderId="0" xfId="0" applyNumberFormat="1" applyFont="1" applyBorder="1"/>
    <xf numFmtId="0" fontId="12" fillId="3" borderId="27" xfId="0" applyFont="1" applyFill="1" applyBorder="1"/>
    <xf numFmtId="0" fontId="17" fillId="3" borderId="27" xfId="0" applyFont="1" applyFill="1" applyBorder="1"/>
    <xf numFmtId="0" fontId="12" fillId="3" borderId="28" xfId="0" applyFont="1" applyFill="1" applyBorder="1"/>
    <xf numFmtId="0" fontId="12" fillId="3" borderId="29" xfId="0" applyFont="1" applyFill="1" applyBorder="1"/>
    <xf numFmtId="0" fontId="3" fillId="3" borderId="27" xfId="0" applyFont="1" applyFill="1" applyBorder="1"/>
    <xf numFmtId="0" fontId="4" fillId="3" borderId="28" xfId="0" applyFont="1" applyFill="1" applyBorder="1"/>
    <xf numFmtId="0" fontId="4" fillId="3" borderId="29" xfId="0" applyFont="1" applyFill="1" applyBorder="1"/>
    <xf numFmtId="0" fontId="5" fillId="0" borderId="0" xfId="0" applyFont="1" applyBorder="1"/>
    <xf numFmtId="0" fontId="16" fillId="0" borderId="1" xfId="0" applyFont="1" applyFill="1" applyBorder="1" applyAlignment="1">
      <alignment horizontal="center" vertical="center"/>
    </xf>
    <xf numFmtId="0" fontId="3" fillId="2" borderId="9" xfId="0" applyFont="1" applyFill="1" applyBorder="1"/>
    <xf numFmtId="0" fontId="3" fillId="2" borderId="7" xfId="0" applyFont="1" applyFill="1" applyBorder="1"/>
    <xf numFmtId="0" fontId="3" fillId="0" borderId="8" xfId="0" applyFont="1" applyFill="1" applyBorder="1"/>
    <xf numFmtId="0" fontId="3" fillId="0" borderId="9" xfId="0" applyFont="1" applyFill="1" applyBorder="1"/>
    <xf numFmtId="0" fontId="3" fillId="0" borderId="7" xfId="0" applyFont="1" applyFill="1" applyBorder="1"/>
    <xf numFmtId="0" fontId="15" fillId="2" borderId="8" xfId="0" applyFont="1" applyFill="1" applyBorder="1"/>
    <xf numFmtId="0" fontId="6" fillId="2" borderId="9" xfId="0" applyFont="1" applyFill="1" applyBorder="1"/>
    <xf numFmtId="0" fontId="6" fillId="2" borderId="7" xfId="0" applyFont="1" applyFill="1" applyBorder="1"/>
    <xf numFmtId="0" fontId="12" fillId="3" borderId="8" xfId="0" applyFont="1" applyFill="1" applyBorder="1"/>
    <xf numFmtId="0" fontId="16" fillId="0" borderId="4" xfId="0" applyFont="1" applyBorder="1" applyAlignment="1">
      <alignment horizontal="center" vertical="center"/>
    </xf>
    <xf numFmtId="0" fontId="13" fillId="2" borderId="8" xfId="0" applyFont="1" applyFill="1" applyBorder="1"/>
    <xf numFmtId="0" fontId="4" fillId="3" borderId="9" xfId="0" applyFont="1" applyFill="1" applyBorder="1"/>
    <xf numFmtId="0" fontId="4" fillId="3" borderId="7" xfId="0" applyFont="1" applyFill="1" applyBorder="1"/>
    <xf numFmtId="0" fontId="11" fillId="0" borderId="8" xfId="0" applyFont="1" applyFill="1" applyBorder="1"/>
    <xf numFmtId="0" fontId="11" fillId="0" borderId="9" xfId="0" applyFont="1" applyFill="1" applyBorder="1"/>
    <xf numFmtId="0" fontId="11" fillId="0" borderId="7" xfId="0" applyFont="1" applyFill="1" applyBorder="1"/>
    <xf numFmtId="0" fontId="3" fillId="6" borderId="0" xfId="0" applyFont="1" applyFill="1" applyBorder="1"/>
    <xf numFmtId="0" fontId="7" fillId="6" borderId="0" xfId="0" applyFont="1" applyFill="1" applyBorder="1"/>
    <xf numFmtId="0" fontId="2" fillId="0" borderId="0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4" fillId="3" borderId="7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17" fillId="0" borderId="0" xfId="0" applyFont="1" applyFill="1"/>
    <xf numFmtId="0" fontId="1" fillId="0" borderId="0" xfId="0" applyFont="1" applyFill="1" applyAlignment="1">
      <alignment vertical="center"/>
    </xf>
    <xf numFmtId="0" fontId="23" fillId="0" borderId="0" xfId="0" applyFont="1" applyFill="1"/>
    <xf numFmtId="4" fontId="1" fillId="0" borderId="0" xfId="0" applyNumberFormat="1" applyFont="1" applyFill="1"/>
    <xf numFmtId="0" fontId="4" fillId="2" borderId="0" xfId="0" applyFont="1" applyFill="1" applyBorder="1"/>
    <xf numFmtId="0" fontId="24" fillId="0" borderId="32" xfId="5" applyNumberFormat="1" applyFont="1" applyBorder="1" applyAlignment="1">
      <alignment vertical="top" wrapText="1"/>
    </xf>
    <xf numFmtId="0" fontId="24" fillId="0" borderId="32" xfId="5" applyNumberFormat="1" applyFont="1" applyBorder="1" applyAlignment="1">
      <alignment vertical="top" wrapText="1" indent="2"/>
    </xf>
    <xf numFmtId="4" fontId="24" fillId="0" borderId="32" xfId="5" applyNumberFormat="1" applyFont="1" applyBorder="1" applyAlignment="1">
      <alignment horizontal="right" vertical="top" wrapText="1"/>
    </xf>
    <xf numFmtId="0" fontId="0" fillId="0" borderId="0" xfId="0" applyFont="1" applyFill="1" applyBorder="1"/>
    <xf numFmtId="0" fontId="5" fillId="0" borderId="0" xfId="0" applyFont="1" applyFill="1" applyBorder="1" applyAlignment="1">
      <alignment vertical="top"/>
    </xf>
    <xf numFmtId="2" fontId="24" fillId="0" borderId="32" xfId="5" applyNumberFormat="1" applyFont="1" applyBorder="1" applyAlignment="1">
      <alignment horizontal="right" vertical="top" wrapText="1"/>
    </xf>
    <xf numFmtId="0" fontId="30" fillId="0" borderId="35" xfId="2" applyNumberFormat="1" applyFont="1" applyBorder="1" applyAlignment="1">
      <alignment horizontal="center" vertical="center"/>
    </xf>
    <xf numFmtId="0" fontId="24" fillId="0" borderId="36" xfId="2" applyNumberFormat="1" applyFont="1" applyBorder="1" applyAlignment="1">
      <alignment horizontal="left" vertical="top"/>
    </xf>
    <xf numFmtId="0" fontId="24" fillId="0" borderId="37" xfId="2" applyNumberFormat="1" applyFont="1" applyBorder="1" applyAlignment="1">
      <alignment vertical="top" wrapText="1"/>
    </xf>
    <xf numFmtId="0" fontId="24" fillId="13" borderId="37" xfId="2" applyNumberFormat="1" applyFont="1" applyFill="1" applyBorder="1" applyAlignment="1">
      <alignment vertical="top"/>
    </xf>
    <xf numFmtId="0" fontId="24" fillId="0" borderId="38" xfId="2" applyNumberFormat="1" applyFont="1" applyBorder="1" applyAlignment="1">
      <alignment vertical="top" wrapText="1"/>
    </xf>
    <xf numFmtId="4" fontId="24" fillId="0" borderId="39" xfId="2" applyNumberFormat="1" applyFont="1" applyBorder="1" applyAlignment="1">
      <alignment horizontal="right" vertical="top"/>
    </xf>
    <xf numFmtId="0" fontId="24" fillId="0" borderId="39" xfId="2" applyNumberFormat="1" applyFont="1" applyBorder="1" applyAlignment="1">
      <alignment horizontal="right" vertical="top"/>
    </xf>
    <xf numFmtId="4" fontId="24" fillId="0" borderId="37" xfId="2" applyNumberFormat="1" applyFont="1" applyBorder="1" applyAlignment="1">
      <alignment horizontal="right" vertical="top"/>
    </xf>
    <xf numFmtId="0" fontId="24" fillId="0" borderId="37" xfId="2" applyNumberFormat="1" applyFont="1" applyBorder="1" applyAlignment="1">
      <alignment horizontal="right" vertical="top" wrapText="1"/>
    </xf>
    <xf numFmtId="4" fontId="24" fillId="0" borderId="0" xfId="2" applyNumberFormat="1" applyFont="1" applyFill="1" applyBorder="1" applyAlignment="1">
      <alignment horizontal="right" vertical="top"/>
    </xf>
    <xf numFmtId="0" fontId="1" fillId="14" borderId="0" xfId="0" applyFont="1" applyFill="1" applyBorder="1"/>
    <xf numFmtId="0" fontId="6" fillId="0" borderId="0" xfId="0" applyFont="1" applyBorder="1" applyAlignment="1">
      <alignment horizontal="center" vertical="center"/>
    </xf>
    <xf numFmtId="0" fontId="5" fillId="0" borderId="0" xfId="0" applyFont="1" applyBorder="1"/>
    <xf numFmtId="0" fontId="0" fillId="0" borderId="0" xfId="0"/>
    <xf numFmtId="0" fontId="5" fillId="0" borderId="0" xfId="0" applyFont="1" applyBorder="1"/>
    <xf numFmtId="0" fontId="5" fillId="0" borderId="0" xfId="0" applyFont="1" applyFill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0" fontId="3" fillId="2" borderId="9" xfId="0" applyFont="1" applyFill="1" applyBorder="1"/>
    <xf numFmtId="0" fontId="3" fillId="2" borderId="7" xfId="0" applyFont="1" applyFill="1" applyBorder="1"/>
    <xf numFmtId="0" fontId="5" fillId="0" borderId="0" xfId="0" applyFont="1" applyBorder="1"/>
    <xf numFmtId="0" fontId="12" fillId="0" borderId="31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 wrapText="1"/>
    </xf>
    <xf numFmtId="0" fontId="24" fillId="16" borderId="32" xfId="5" applyNumberFormat="1" applyFont="1" applyFill="1" applyBorder="1" applyAlignment="1">
      <alignment vertical="top" wrapText="1"/>
    </xf>
    <xf numFmtId="0" fontId="1" fillId="16" borderId="0" xfId="0" applyFont="1" applyFill="1" applyBorder="1"/>
    <xf numFmtId="4" fontId="24" fillId="16" borderId="32" xfId="5" applyNumberFormat="1" applyFont="1" applyFill="1" applyBorder="1" applyAlignment="1">
      <alignment horizontal="right" vertical="top" wrapText="1"/>
    </xf>
    <xf numFmtId="0" fontId="0" fillId="16" borderId="0" xfId="0" applyFill="1"/>
    <xf numFmtId="0" fontId="5" fillId="2" borderId="9" xfId="0" applyFont="1" applyFill="1" applyBorder="1"/>
    <xf numFmtId="0" fontId="11" fillId="0" borderId="0" xfId="0" applyFont="1" applyFill="1" applyBorder="1" applyAlignment="1">
      <alignment vertical="top" wrapText="1"/>
    </xf>
    <xf numFmtId="0" fontId="15" fillId="2" borderId="0" xfId="0" applyFont="1" applyFill="1" applyBorder="1" applyAlignment="1">
      <alignment horizontal="left" vertical="center"/>
    </xf>
    <xf numFmtId="0" fontId="5" fillId="0" borderId="0" xfId="0" applyFont="1" applyFill="1"/>
    <xf numFmtId="0" fontId="11" fillId="0" borderId="17" xfId="0" applyFont="1" applyFill="1" applyBorder="1" applyAlignment="1">
      <alignment vertical="center"/>
    </xf>
    <xf numFmtId="0" fontId="11" fillId="0" borderId="25" xfId="0" applyFont="1" applyFill="1" applyBorder="1" applyAlignment="1">
      <alignment vertical="center"/>
    </xf>
    <xf numFmtId="0" fontId="1" fillId="14" borderId="0" xfId="0" applyFont="1" applyFill="1"/>
    <xf numFmtId="0" fontId="16" fillId="17" borderId="0" xfId="0" applyFont="1" applyFill="1" applyBorder="1"/>
    <xf numFmtId="0" fontId="16" fillId="2" borderId="0" xfId="0" applyFont="1" applyFill="1" applyBorder="1"/>
    <xf numFmtId="0" fontId="1" fillId="17" borderId="0" xfId="0" applyFont="1" applyFill="1" applyBorder="1"/>
    <xf numFmtId="0" fontId="11" fillId="0" borderId="2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0" fillId="17" borderId="0" xfId="0" applyFill="1"/>
    <xf numFmtId="3" fontId="5" fillId="0" borderId="0" xfId="0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168" fontId="0" fillId="0" borderId="0" xfId="0" applyNumberForma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vertical="center"/>
    </xf>
    <xf numFmtId="0" fontId="1" fillId="17" borderId="0" xfId="0" applyFont="1" applyFill="1"/>
    <xf numFmtId="0" fontId="1" fillId="17" borderId="0" xfId="0" applyFont="1" applyFill="1" applyAlignment="1">
      <alignment vertical="center"/>
    </xf>
    <xf numFmtId="0" fontId="0" fillId="0" borderId="0" xfId="0" applyFont="1" applyBorder="1" applyAlignment="1" applyProtection="1">
      <alignment vertical="top" wrapText="1" indent="2"/>
    </xf>
    <xf numFmtId="0" fontId="0" fillId="0" borderId="0" xfId="0" applyFont="1" applyBorder="1" applyAlignment="1" applyProtection="1">
      <alignment vertical="top" wrapText="1"/>
    </xf>
    <xf numFmtId="0" fontId="0" fillId="2" borderId="0" xfId="0" applyFill="1"/>
    <xf numFmtId="0" fontId="1" fillId="2" borderId="55" xfId="0" applyFont="1" applyFill="1" applyBorder="1"/>
    <xf numFmtId="0" fontId="0" fillId="2" borderId="55" xfId="0" applyFont="1" applyFill="1" applyBorder="1" applyAlignment="1" applyProtection="1">
      <alignment vertical="top" wrapText="1" indent="2"/>
    </xf>
    <xf numFmtId="0" fontId="29" fillId="0" borderId="0" xfId="4" applyFill="1"/>
    <xf numFmtId="0" fontId="29" fillId="0" borderId="0" xfId="4" applyFill="1" applyAlignment="1">
      <alignment vertical="center"/>
    </xf>
    <xf numFmtId="0" fontId="5" fillId="0" borderId="0" xfId="0" applyFont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right" vertical="top"/>
    </xf>
    <xf numFmtId="0" fontId="1" fillId="11" borderId="0" xfId="0" applyFont="1" applyFill="1" applyBorder="1"/>
    <xf numFmtId="0" fontId="0" fillId="0" borderId="53" xfId="0" applyFont="1" applyFill="1" applyBorder="1" applyAlignment="1">
      <alignment horizontal="center" vertical="center"/>
    </xf>
    <xf numFmtId="0" fontId="0" fillId="0" borderId="53" xfId="0" applyFont="1" applyFill="1" applyBorder="1"/>
    <xf numFmtId="0" fontId="0" fillId="0" borderId="53" xfId="0" applyFont="1" applyBorder="1" applyAlignment="1" applyProtection="1">
      <alignment vertical="top" wrapText="1" indent="2"/>
    </xf>
    <xf numFmtId="0" fontId="0" fillId="0" borderId="53" xfId="0" applyFont="1" applyBorder="1" applyAlignment="1" applyProtection="1">
      <alignment horizontal="center" vertical="center" wrapText="1"/>
    </xf>
    <xf numFmtId="0" fontId="0" fillId="0" borderId="53" xfId="0" applyFont="1" applyFill="1" applyBorder="1" applyAlignment="1" applyProtection="1">
      <alignment vertical="top" wrapText="1" indent="2"/>
    </xf>
    <xf numFmtId="0" fontId="0" fillId="0" borderId="53" xfId="0" applyFont="1" applyFill="1" applyBorder="1" applyAlignment="1" applyProtection="1">
      <alignment horizontal="center" vertical="center" wrapText="1"/>
    </xf>
    <xf numFmtId="0" fontId="17" fillId="0" borderId="28" xfId="0" applyFont="1" applyFill="1" applyBorder="1" applyAlignment="1">
      <alignment vertical="center"/>
    </xf>
    <xf numFmtId="0" fontId="17" fillId="0" borderId="29" xfId="0" applyFont="1" applyFill="1" applyBorder="1" applyAlignment="1">
      <alignment vertical="center"/>
    </xf>
    <xf numFmtId="0" fontId="1" fillId="2" borderId="0" xfId="0" applyFont="1" applyFill="1" applyBorder="1"/>
    <xf numFmtId="0" fontId="0" fillId="2" borderId="0" xfId="0" applyFont="1" applyFill="1" applyBorder="1" applyAlignment="1" applyProtection="1">
      <alignment vertical="top" wrapText="1" indent="2"/>
    </xf>
    <xf numFmtId="0" fontId="0" fillId="2" borderId="0" xfId="0" applyFont="1" applyFill="1" applyBorder="1" applyAlignment="1" applyProtection="1">
      <alignment vertical="top" wrapText="1"/>
    </xf>
    <xf numFmtId="0" fontId="32" fillId="2" borderId="0" xfId="0" applyFont="1" applyFill="1" applyBorder="1" applyAlignment="1" applyProtection="1">
      <alignment vertical="center"/>
    </xf>
    <xf numFmtId="0" fontId="1" fillId="0" borderId="0" xfId="0" applyFont="1"/>
    <xf numFmtId="0" fontId="30" fillId="0" borderId="34" xfId="2" applyNumberFormat="1" applyFont="1" applyBorder="1" applyAlignment="1">
      <alignment horizontal="center" vertical="center"/>
    </xf>
    <xf numFmtId="0" fontId="0" fillId="3" borderId="26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left" vertical="center"/>
    </xf>
    <xf numFmtId="0" fontId="0" fillId="0" borderId="26" xfId="0" applyFont="1" applyBorder="1" applyAlignment="1" applyProtection="1">
      <alignment vertical="top" wrapText="1"/>
    </xf>
    <xf numFmtId="0" fontId="0" fillId="0" borderId="26" xfId="0" applyFont="1" applyBorder="1" applyAlignment="1" applyProtection="1">
      <alignment vertical="top" wrapText="1" indent="2"/>
    </xf>
    <xf numFmtId="0" fontId="0" fillId="0" borderId="26" xfId="0" applyFont="1" applyBorder="1" applyAlignment="1" applyProtection="1">
      <alignment horizontal="center" vertical="center" wrapText="1"/>
    </xf>
    <xf numFmtId="0" fontId="11" fillId="0" borderId="6" xfId="0" applyFont="1" applyBorder="1" applyAlignment="1">
      <alignment vertical="top" wrapText="1"/>
    </xf>
    <xf numFmtId="0" fontId="18" fillId="2" borderId="0" xfId="0" applyFont="1" applyFill="1" applyBorder="1" applyAlignment="1">
      <alignment vertical="center"/>
    </xf>
    <xf numFmtId="0" fontId="16" fillId="0" borderId="3" xfId="0" applyFont="1" applyFill="1" applyBorder="1" applyAlignment="1">
      <alignment horizontal="left" vertical="center"/>
    </xf>
    <xf numFmtId="0" fontId="12" fillId="15" borderId="51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horizontal="center" vertical="center" wrapText="1"/>
    </xf>
    <xf numFmtId="0" fontId="12" fillId="0" borderId="52" xfId="0" quotePrefix="1" applyFont="1" applyFill="1" applyBorder="1" applyAlignment="1">
      <alignment horizontal="center" vertical="center"/>
    </xf>
    <xf numFmtId="0" fontId="12" fillId="0" borderId="53" xfId="0" applyFont="1" applyFill="1" applyBorder="1" applyAlignment="1">
      <alignment horizontal="center" vertical="center"/>
    </xf>
    <xf numFmtId="0" fontId="12" fillId="0" borderId="54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3" fontId="12" fillId="3" borderId="6" xfId="0" applyNumberFormat="1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2" fontId="16" fillId="0" borderId="0" xfId="0" applyNumberFormat="1" applyFont="1" applyFill="1" applyBorder="1" applyAlignment="1">
      <alignment horizontal="center" vertical="center"/>
    </xf>
    <xf numFmtId="167" fontId="17" fillId="3" borderId="2" xfId="0" applyNumberFormat="1" applyFont="1" applyFill="1" applyBorder="1" applyAlignment="1">
      <alignment horizontal="center" vertical="center"/>
    </xf>
    <xf numFmtId="167" fontId="17" fillId="3" borderId="3" xfId="0" applyNumberFormat="1" applyFont="1" applyFill="1" applyBorder="1" applyAlignment="1">
      <alignment horizontal="center" vertical="center"/>
    </xf>
    <xf numFmtId="167" fontId="17" fillId="3" borderId="4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167" fontId="12" fillId="3" borderId="0" xfId="0" applyNumberFormat="1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0" fontId="11" fillId="0" borderId="51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left" vertical="center"/>
    </xf>
    <xf numFmtId="0" fontId="12" fillId="0" borderId="25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center"/>
    </xf>
    <xf numFmtId="0" fontId="11" fillId="0" borderId="26" xfId="0" applyFont="1" applyFill="1" applyBorder="1"/>
    <xf numFmtId="0" fontId="6" fillId="0" borderId="30" xfId="0" applyFont="1" applyFill="1" applyBorder="1" applyAlignment="1">
      <alignment vertical="center" wrapText="1"/>
    </xf>
    <xf numFmtId="0" fontId="5" fillId="0" borderId="30" xfId="0" applyFont="1" applyFill="1" applyBorder="1" applyAlignment="1">
      <alignment vertical="center" wrapText="1"/>
    </xf>
    <xf numFmtId="0" fontId="16" fillId="7" borderId="3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0" fontId="17" fillId="3" borderId="4" xfId="0" applyFont="1" applyFill="1" applyBorder="1" applyAlignment="1">
      <alignment horizontal="left" vertical="center"/>
    </xf>
    <xf numFmtId="0" fontId="11" fillId="0" borderId="2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vertical="top"/>
    </xf>
    <xf numFmtId="3" fontId="16" fillId="19" borderId="8" xfId="0" applyNumberFormat="1" applyFont="1" applyFill="1" applyBorder="1" applyAlignment="1">
      <alignment horizontal="center" vertical="center"/>
    </xf>
    <xf numFmtId="3" fontId="16" fillId="19" borderId="9" xfId="0" applyNumberFormat="1" applyFont="1" applyFill="1" applyBorder="1" applyAlignment="1">
      <alignment horizontal="center" vertical="center"/>
    </xf>
    <xf numFmtId="3" fontId="16" fillId="19" borderId="7" xfId="0" applyNumberFormat="1" applyFont="1" applyFill="1" applyBorder="1" applyAlignment="1">
      <alignment horizontal="center" vertical="center"/>
    </xf>
    <xf numFmtId="3" fontId="12" fillId="11" borderId="26" xfId="0" applyNumberFormat="1" applyFont="1" applyFill="1" applyBorder="1" applyAlignment="1">
      <alignment horizontal="center" vertical="center"/>
    </xf>
    <xf numFmtId="0" fontId="12" fillId="11" borderId="26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left"/>
    </xf>
    <xf numFmtId="0" fontId="12" fillId="0" borderId="51" xfId="0" applyFont="1" applyFill="1" applyBorder="1" applyAlignment="1">
      <alignment horizontal="center" vertical="center"/>
    </xf>
    <xf numFmtId="3" fontId="12" fillId="3" borderId="27" xfId="0" applyNumberFormat="1" applyFont="1" applyFill="1" applyBorder="1" applyAlignment="1">
      <alignment horizontal="center" vertical="center"/>
    </xf>
    <xf numFmtId="3" fontId="12" fillId="3" borderId="28" xfId="0" applyNumberFormat="1" applyFont="1" applyFill="1" applyBorder="1" applyAlignment="1">
      <alignment horizontal="center" vertical="center"/>
    </xf>
    <xf numFmtId="3" fontId="12" fillId="3" borderId="29" xfId="0" applyNumberFormat="1" applyFont="1" applyFill="1" applyBorder="1" applyAlignment="1">
      <alignment horizontal="center" vertical="center"/>
    </xf>
    <xf numFmtId="2" fontId="16" fillId="0" borderId="3" xfId="0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3" borderId="6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16" fillId="3" borderId="6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3" fontId="16" fillId="3" borderId="8" xfId="0" applyNumberFormat="1" applyFont="1" applyFill="1" applyBorder="1" applyAlignment="1">
      <alignment horizontal="center" vertical="center"/>
    </xf>
    <xf numFmtId="3" fontId="16" fillId="3" borderId="9" xfId="0" applyNumberFormat="1" applyFont="1" applyFill="1" applyBorder="1" applyAlignment="1">
      <alignment horizontal="center" vertical="center"/>
    </xf>
    <xf numFmtId="3" fontId="16" fillId="3" borderId="7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3" fontId="16" fillId="0" borderId="6" xfId="0" applyNumberFormat="1" applyFont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3" fontId="12" fillId="3" borderId="6" xfId="0" applyNumberFormat="1" applyFont="1" applyFill="1" applyBorder="1" applyAlignment="1">
      <alignment horizontal="left" vertical="center"/>
    </xf>
    <xf numFmtId="3" fontId="11" fillId="0" borderId="6" xfId="0" applyNumberFormat="1" applyFont="1" applyFill="1" applyBorder="1" applyAlignment="1">
      <alignment horizontal="center" vertical="center"/>
    </xf>
    <xf numFmtId="3" fontId="12" fillId="0" borderId="6" xfId="0" applyNumberFormat="1" applyFont="1" applyFill="1" applyBorder="1" applyAlignment="1">
      <alignment horizontal="center" vertical="center"/>
    </xf>
    <xf numFmtId="3" fontId="17" fillId="0" borderId="6" xfId="0" applyNumberFormat="1" applyFont="1" applyBorder="1" applyAlignment="1">
      <alignment horizontal="center" vertical="center" wrapText="1"/>
    </xf>
    <xf numFmtId="3" fontId="17" fillId="3" borderId="8" xfId="0" applyNumberFormat="1" applyFont="1" applyFill="1" applyBorder="1" applyAlignment="1">
      <alignment horizontal="center" vertical="center"/>
    </xf>
    <xf numFmtId="3" fontId="17" fillId="3" borderId="9" xfId="0" applyNumberFormat="1" applyFont="1" applyFill="1" applyBorder="1" applyAlignment="1">
      <alignment horizontal="center" vertical="center"/>
    </xf>
    <xf numFmtId="3" fontId="17" fillId="3" borderId="7" xfId="0" applyNumberFormat="1" applyFont="1" applyFill="1" applyBorder="1" applyAlignment="1">
      <alignment horizontal="center" vertical="center"/>
    </xf>
    <xf numFmtId="3" fontId="17" fillId="3" borderId="6" xfId="0" applyNumberFormat="1" applyFont="1" applyFill="1" applyBorder="1" applyAlignment="1">
      <alignment horizontal="center" vertical="center"/>
    </xf>
    <xf numFmtId="3" fontId="16" fillId="0" borderId="6" xfId="0" applyNumberFormat="1" applyFont="1" applyBorder="1" applyAlignment="1">
      <alignment vertical="center" wrapText="1"/>
    </xf>
    <xf numFmtId="3" fontId="16" fillId="0" borderId="0" xfId="0" applyNumberFormat="1" applyFont="1" applyBorder="1" applyAlignment="1">
      <alignment vertical="center"/>
    </xf>
    <xf numFmtId="3" fontId="17" fillId="3" borderId="6" xfId="0" applyNumberFormat="1" applyFont="1" applyFill="1" applyBorder="1" applyAlignment="1">
      <alignment horizontal="left" vertical="center"/>
    </xf>
    <xf numFmtId="3" fontId="16" fillId="0" borderId="0" xfId="0" applyNumberFormat="1" applyFont="1" applyBorder="1" applyAlignment="1">
      <alignment horizontal="center" vertical="center"/>
    </xf>
    <xf numFmtId="3" fontId="18" fillId="2" borderId="0" xfId="0" applyNumberFormat="1" applyFont="1" applyFill="1" applyBorder="1" applyAlignment="1">
      <alignment horizontal="left" vertical="center"/>
    </xf>
    <xf numFmtId="3" fontId="11" fillId="0" borderId="6" xfId="0" applyNumberFormat="1" applyFont="1" applyFill="1" applyBorder="1" applyAlignment="1">
      <alignment horizontal="left" vertical="center" wrapText="1"/>
    </xf>
    <xf numFmtId="3" fontId="12" fillId="19" borderId="6" xfId="0" applyNumberFormat="1" applyFont="1" applyFill="1" applyBorder="1" applyAlignment="1">
      <alignment horizontal="center"/>
    </xf>
    <xf numFmtId="0" fontId="18" fillId="2" borderId="0" xfId="0" applyFont="1" applyFill="1" applyBorder="1" applyAlignment="1">
      <alignment vertical="center" wrapText="1"/>
    </xf>
    <xf numFmtId="0" fontId="11" fillId="0" borderId="6" xfId="0" applyFont="1" applyBorder="1" applyAlignment="1">
      <alignment horizontal="center" vertical="top" wrapText="1"/>
    </xf>
    <xf numFmtId="0" fontId="11" fillId="0" borderId="6" xfId="0" applyFont="1" applyBorder="1" applyAlignment="1">
      <alignment vertical="top"/>
    </xf>
    <xf numFmtId="3" fontId="16" fillId="0" borderId="6" xfId="0" applyNumberFormat="1" applyFont="1" applyFill="1" applyBorder="1" applyAlignment="1">
      <alignment vertical="center" wrapText="1"/>
    </xf>
    <xf numFmtId="3" fontId="15" fillId="2" borderId="0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vertical="center" wrapText="1"/>
    </xf>
    <xf numFmtId="3" fontId="12" fillId="3" borderId="6" xfId="0" applyNumberFormat="1" applyFont="1" applyFill="1" applyBorder="1" applyAlignment="1">
      <alignment horizontal="center"/>
    </xf>
    <xf numFmtId="3" fontId="17" fillId="3" borderId="6" xfId="0" applyNumberFormat="1" applyFont="1" applyFill="1" applyBorder="1" applyAlignment="1">
      <alignment horizontal="left" vertical="center" wrapText="1"/>
    </xf>
    <xf numFmtId="0" fontId="17" fillId="3" borderId="8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left" vertical="center"/>
    </xf>
    <xf numFmtId="0" fontId="16" fillId="0" borderId="6" xfId="0" applyFont="1" applyFill="1" applyBorder="1" applyAlignment="1">
      <alignment horizontal="left" vertical="center"/>
    </xf>
    <xf numFmtId="0" fontId="17" fillId="3" borderId="23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left" vertical="center" wrapText="1"/>
    </xf>
    <xf numFmtId="0" fontId="17" fillId="3" borderId="5" xfId="0" applyFont="1" applyFill="1" applyBorder="1" applyAlignment="1">
      <alignment horizontal="left" vertical="center" wrapText="1"/>
    </xf>
    <xf numFmtId="0" fontId="17" fillId="3" borderId="2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17" fillId="3" borderId="6" xfId="0" applyFont="1" applyFill="1" applyBorder="1"/>
    <xf numFmtId="0" fontId="16" fillId="0" borderId="6" xfId="0" applyFont="1" applyBorder="1" applyAlignment="1">
      <alignment horizontal="left" vertical="center"/>
    </xf>
    <xf numFmtId="0" fontId="11" fillId="6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3" fontId="11" fillId="0" borderId="2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/>
    </xf>
    <xf numFmtId="0" fontId="11" fillId="0" borderId="7" xfId="0" applyFont="1" applyFill="1" applyBorder="1" applyAlignment="1">
      <alignment horizontal="left" vertical="center"/>
    </xf>
    <xf numFmtId="0" fontId="11" fillId="18" borderId="26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/>
    </xf>
    <xf numFmtId="0" fontId="0" fillId="0" borderId="6" xfId="0" applyBorder="1"/>
    <xf numFmtId="0" fontId="0" fillId="0" borderId="6" xfId="0" applyBorder="1" applyAlignment="1">
      <alignment horizontal="center" vertical="center" wrapText="1"/>
    </xf>
    <xf numFmtId="2" fontId="0" fillId="0" borderId="6" xfId="0" applyNumberFormat="1" applyBorder="1" applyAlignment="1">
      <alignment horizontal="center" vertical="center" wrapText="1"/>
    </xf>
    <xf numFmtId="3" fontId="12" fillId="19" borderId="6" xfId="0" applyNumberFormat="1" applyFont="1" applyFill="1" applyBorder="1" applyAlignment="1">
      <alignment horizontal="center" vertical="center"/>
    </xf>
    <xf numFmtId="0" fontId="12" fillId="19" borderId="6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vertical="center"/>
    </xf>
    <xf numFmtId="0" fontId="16" fillId="0" borderId="6" xfId="0" applyFont="1" applyBorder="1" applyAlignment="1">
      <alignment horizontal="center" vertical="center"/>
    </xf>
    <xf numFmtId="168" fontId="0" fillId="0" borderId="6" xfId="0" applyNumberFormat="1" applyBorder="1" applyAlignment="1">
      <alignment horizontal="center" vertical="center" wrapText="1"/>
    </xf>
    <xf numFmtId="0" fontId="0" fillId="0" borderId="6" xfId="0" applyBorder="1" applyAlignment="1">
      <alignment wrapText="1"/>
    </xf>
    <xf numFmtId="2" fontId="11" fillId="0" borderId="6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9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7" borderId="6" xfId="0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2" fontId="16" fillId="0" borderId="13" xfId="0" applyNumberFormat="1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2" fontId="16" fillId="0" borderId="15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left" vertical="center"/>
    </xf>
    <xf numFmtId="0" fontId="16" fillId="7" borderId="14" xfId="0" applyFont="1" applyFill="1" applyBorder="1" applyAlignment="1">
      <alignment horizontal="center" vertical="center"/>
    </xf>
    <xf numFmtId="2" fontId="16" fillId="0" borderId="14" xfId="0" applyNumberFormat="1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left" vertical="center"/>
    </xf>
    <xf numFmtId="0" fontId="18" fillId="2" borderId="5" xfId="0" applyFont="1" applyFill="1" applyBorder="1" applyAlignment="1">
      <alignment horizontal="left" vertical="center"/>
    </xf>
    <xf numFmtId="0" fontId="18" fillId="2" borderId="24" xfId="0" applyFont="1" applyFill="1" applyBorder="1" applyAlignment="1">
      <alignment horizontal="left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center"/>
    </xf>
    <xf numFmtId="0" fontId="16" fillId="5" borderId="6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left" vertical="center"/>
    </xf>
    <xf numFmtId="0" fontId="16" fillId="0" borderId="19" xfId="0" applyFont="1" applyFill="1" applyBorder="1" applyAlignment="1">
      <alignment horizontal="left" vertical="center"/>
    </xf>
    <xf numFmtId="0" fontId="16" fillId="0" borderId="20" xfId="0" applyFont="1" applyFill="1" applyBorder="1" applyAlignment="1">
      <alignment horizontal="left" vertical="center"/>
    </xf>
    <xf numFmtId="0" fontId="0" fillId="0" borderId="51" xfId="0" applyFont="1" applyBorder="1" applyAlignment="1" applyProtection="1">
      <alignment horizontal="center" vertical="center" wrapText="1"/>
    </xf>
    <xf numFmtId="0" fontId="0" fillId="0" borderId="51" xfId="0" applyFont="1" applyFill="1" applyBorder="1" applyAlignment="1">
      <alignment horizontal="center" vertical="center"/>
    </xf>
    <xf numFmtId="0" fontId="0" fillId="3" borderId="51" xfId="0" applyFont="1" applyFill="1" applyBorder="1" applyAlignment="1">
      <alignment horizontal="center" vertical="center"/>
    </xf>
    <xf numFmtId="0" fontId="18" fillId="2" borderId="1" xfId="0" applyFont="1" applyFill="1" applyBorder="1"/>
    <xf numFmtId="0" fontId="0" fillId="20" borderId="51" xfId="0" applyFont="1" applyFill="1" applyBorder="1" applyAlignment="1" applyProtection="1">
      <alignment horizontal="center" vertical="center" wrapText="1"/>
    </xf>
    <xf numFmtId="0" fontId="0" fillId="0" borderId="51" xfId="0" applyFont="1" applyBorder="1" applyAlignment="1" applyProtection="1">
      <alignment vertical="top" wrapText="1" indent="2"/>
    </xf>
    <xf numFmtId="0" fontId="0" fillId="0" borderId="51" xfId="0" applyFont="1" applyFill="1" applyBorder="1"/>
    <xf numFmtId="0" fontId="16" fillId="0" borderId="51" xfId="0" applyFont="1" applyBorder="1" applyAlignment="1" applyProtection="1">
      <alignment vertical="top" wrapText="1"/>
    </xf>
    <xf numFmtId="0" fontId="0" fillId="0" borderId="51" xfId="0" applyFont="1" applyBorder="1" applyAlignment="1" applyProtection="1">
      <alignment vertical="top" wrapText="1"/>
    </xf>
    <xf numFmtId="0" fontId="0" fillId="3" borderId="51" xfId="0" applyFont="1" applyFill="1" applyBorder="1" applyAlignment="1">
      <alignment horizontal="center"/>
    </xf>
    <xf numFmtId="0" fontId="29" fillId="0" borderId="0" xfId="4" applyFill="1" applyBorder="1" applyAlignment="1">
      <alignment horizontal="left" vertical="center"/>
    </xf>
    <xf numFmtId="0" fontId="0" fillId="0" borderId="0" xfId="0" applyFont="1"/>
    <xf numFmtId="0" fontId="3" fillId="2" borderId="0" xfId="0" applyFont="1" applyFill="1" applyAlignment="1">
      <alignment vertical="center"/>
    </xf>
    <xf numFmtId="0" fontId="29" fillId="0" borderId="0" xfId="4" applyFill="1"/>
    <xf numFmtId="0" fontId="5" fillId="0" borderId="0" xfId="0" applyFont="1" applyFill="1"/>
    <xf numFmtId="0" fontId="29" fillId="0" borderId="0" xfId="4" applyFill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29" fillId="0" borderId="0" xfId="4"/>
    <xf numFmtId="0" fontId="16" fillId="0" borderId="26" xfId="0" applyFont="1" applyFill="1" applyBorder="1" applyAlignment="1">
      <alignment vertical="top" wrapText="1"/>
    </xf>
    <xf numFmtId="4" fontId="12" fillId="3" borderId="6" xfId="0" applyNumberFormat="1" applyFont="1" applyFill="1" applyBorder="1" applyAlignment="1">
      <alignment horizontal="center" vertical="center"/>
    </xf>
    <xf numFmtId="0" fontId="12" fillId="3" borderId="6" xfId="0" applyNumberFormat="1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left" vertical="top" wrapText="1"/>
    </xf>
    <xf numFmtId="0" fontId="17" fillId="0" borderId="28" xfId="0" applyFont="1" applyFill="1" applyBorder="1" applyAlignment="1">
      <alignment horizontal="left" vertical="top" wrapText="1"/>
    </xf>
    <xf numFmtId="0" fontId="11" fillId="3" borderId="3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165" fontId="12" fillId="3" borderId="2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4" fillId="2" borderId="0" xfId="0" applyFont="1" applyFill="1" applyBorder="1"/>
    <xf numFmtId="0" fontId="5" fillId="0" borderId="0" xfId="0" applyFont="1" applyBorder="1" applyAlignment="1">
      <alignment horizontal="center" vertical="top" wrapText="1"/>
    </xf>
    <xf numFmtId="0" fontId="11" fillId="0" borderId="6" xfId="0" applyFont="1" applyFill="1" applyBorder="1" applyAlignment="1">
      <alignment vertical="top" wrapText="1"/>
    </xf>
    <xf numFmtId="0" fontId="12" fillId="3" borderId="6" xfId="0" applyFont="1" applyFill="1" applyBorder="1"/>
    <xf numFmtId="0" fontId="11" fillId="0" borderId="26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left" vertical="top" wrapText="1"/>
    </xf>
    <xf numFmtId="3" fontId="12" fillId="3" borderId="26" xfId="0" applyNumberFormat="1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11" fillId="0" borderId="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left" vertical="top"/>
    </xf>
    <xf numFmtId="0" fontId="17" fillId="3" borderId="26" xfId="0" applyFont="1" applyFill="1" applyBorder="1"/>
    <xf numFmtId="0" fontId="11" fillId="0" borderId="30" xfId="0" applyFont="1" applyFill="1" applyBorder="1" applyAlignment="1">
      <alignment horizontal="center" vertical="center"/>
    </xf>
    <xf numFmtId="0" fontId="17" fillId="3" borderId="27" xfId="0" applyFont="1" applyFill="1" applyBorder="1"/>
    <xf numFmtId="0" fontId="17" fillId="3" borderId="28" xfId="0" applyFont="1" applyFill="1" applyBorder="1"/>
    <xf numFmtId="0" fontId="17" fillId="3" borderId="29" xfId="0" applyFont="1" applyFill="1" applyBorder="1"/>
    <xf numFmtId="0" fontId="6" fillId="0" borderId="0" xfId="0" applyFont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0" fontId="17" fillId="3" borderId="26" xfId="0" applyFont="1" applyFill="1" applyBorder="1" applyAlignment="1">
      <alignment horizontal="center" vertical="center"/>
    </xf>
    <xf numFmtId="0" fontId="12" fillId="3" borderId="26" xfId="0" applyFont="1" applyFill="1" applyBorder="1"/>
    <xf numFmtId="0" fontId="12" fillId="0" borderId="26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3" fontId="12" fillId="3" borderId="27" xfId="0" quotePrefix="1" applyNumberFormat="1" applyFont="1" applyFill="1" applyBorder="1" applyAlignment="1">
      <alignment horizontal="center" vertical="center"/>
    </xf>
    <xf numFmtId="3" fontId="12" fillId="3" borderId="26" xfId="0" applyNumberFormat="1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7" fillId="0" borderId="30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0" fontId="12" fillId="3" borderId="51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3" fontId="12" fillId="15" borderId="27" xfId="0" applyNumberFormat="1" applyFont="1" applyFill="1" applyBorder="1" applyAlignment="1">
      <alignment horizontal="center" vertical="center"/>
    </xf>
    <xf numFmtId="3" fontId="12" fillId="15" borderId="28" xfId="0" applyNumberFormat="1" applyFont="1" applyFill="1" applyBorder="1" applyAlignment="1">
      <alignment horizontal="center" vertical="center"/>
    </xf>
    <xf numFmtId="3" fontId="12" fillId="15" borderId="29" xfId="0" applyNumberFormat="1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5" fillId="0" borderId="0" xfId="0" applyFont="1" applyBorder="1"/>
    <xf numFmtId="0" fontId="12" fillId="15" borderId="27" xfId="0" applyFont="1" applyFill="1" applyBorder="1" applyAlignment="1">
      <alignment horizontal="center" vertical="center"/>
    </xf>
    <xf numFmtId="0" fontId="12" fillId="15" borderId="28" xfId="0" applyFont="1" applyFill="1" applyBorder="1" applyAlignment="1">
      <alignment horizontal="center" vertical="center"/>
    </xf>
    <xf numFmtId="0" fontId="12" fillId="15" borderId="29" xfId="0" applyFont="1" applyFill="1" applyBorder="1" applyAlignment="1">
      <alignment horizontal="center" vertical="center"/>
    </xf>
    <xf numFmtId="3" fontId="12" fillId="0" borderId="27" xfId="0" applyNumberFormat="1" applyFont="1" applyFill="1" applyBorder="1" applyAlignment="1">
      <alignment horizontal="center" vertical="center" wrapText="1"/>
    </xf>
    <xf numFmtId="3" fontId="12" fillId="0" borderId="28" xfId="0" applyNumberFormat="1" applyFont="1" applyFill="1" applyBorder="1" applyAlignment="1">
      <alignment horizontal="center" vertical="center"/>
    </xf>
    <xf numFmtId="3" fontId="12" fillId="0" borderId="29" xfId="0" applyNumberFormat="1" applyFont="1" applyFill="1" applyBorder="1" applyAlignment="1">
      <alignment horizontal="center" vertical="center"/>
    </xf>
    <xf numFmtId="0" fontId="12" fillId="15" borderId="51" xfId="0" applyFont="1" applyFill="1" applyBorder="1" applyAlignment="1">
      <alignment vertical="center"/>
    </xf>
    <xf numFmtId="0" fontId="11" fillId="0" borderId="51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1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3" fontId="12" fillId="3" borderId="8" xfId="0" applyNumberFormat="1" applyFont="1" applyFill="1" applyBorder="1" applyAlignment="1">
      <alignment horizontal="center" vertical="center"/>
    </xf>
    <xf numFmtId="3" fontId="12" fillId="3" borderId="9" xfId="0" applyNumberFormat="1" applyFont="1" applyFill="1" applyBorder="1" applyAlignment="1">
      <alignment horizontal="center" vertical="center"/>
    </xf>
    <xf numFmtId="3" fontId="12" fillId="3" borderId="7" xfId="0" applyNumberFormat="1" applyFont="1" applyFill="1" applyBorder="1" applyAlignment="1">
      <alignment horizontal="center" vertical="center"/>
    </xf>
    <xf numFmtId="0" fontId="12" fillId="3" borderId="51" xfId="0" applyFont="1" applyFill="1" applyBorder="1" applyAlignment="1">
      <alignment horizontal="left" wrapText="1"/>
    </xf>
    <xf numFmtId="0" fontId="12" fillId="0" borderId="6" xfId="0" applyFont="1" applyFill="1" applyBorder="1" applyAlignment="1">
      <alignment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20" fontId="11" fillId="0" borderId="8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wrapText="1"/>
    </xf>
    <xf numFmtId="0" fontId="11" fillId="0" borderId="9" xfId="0" applyFont="1" applyFill="1" applyBorder="1" applyAlignment="1">
      <alignment wrapText="1"/>
    </xf>
    <xf numFmtId="0" fontId="11" fillId="0" borderId="7" xfId="0" applyFont="1" applyFill="1" applyBorder="1" applyAlignment="1">
      <alignment wrapText="1"/>
    </xf>
    <xf numFmtId="0" fontId="11" fillId="0" borderId="8" xfId="0" applyFont="1" applyFill="1" applyBorder="1"/>
    <xf numFmtId="0" fontId="11" fillId="0" borderId="9" xfId="0" applyFont="1" applyFill="1" applyBorder="1"/>
    <xf numFmtId="0" fontId="11" fillId="0" borderId="7" xfId="0" applyFont="1" applyFill="1" applyBorder="1"/>
    <xf numFmtId="0" fontId="11" fillId="0" borderId="8" xfId="0" applyFont="1" applyFill="1" applyBorder="1" applyAlignment="1">
      <alignment horizontal="left" wrapText="1"/>
    </xf>
    <xf numFmtId="0" fontId="11" fillId="0" borderId="9" xfId="0" applyFont="1" applyFill="1" applyBorder="1" applyAlignment="1">
      <alignment horizontal="left" wrapText="1"/>
    </xf>
    <xf numFmtId="0" fontId="11" fillId="0" borderId="7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center" vertical="center" wrapText="1"/>
    </xf>
    <xf numFmtId="0" fontId="3" fillId="2" borderId="8" xfId="0" applyFont="1" applyFill="1" applyBorder="1"/>
    <xf numFmtId="0" fontId="3" fillId="2" borderId="9" xfId="0" applyFont="1" applyFill="1" applyBorder="1"/>
    <xf numFmtId="0" fontId="3" fillId="2" borderId="7" xfId="0" applyFont="1" applyFill="1" applyBorder="1"/>
    <xf numFmtId="0" fontId="31" fillId="0" borderId="8" xfId="0" applyFont="1" applyFill="1" applyBorder="1" applyAlignment="1">
      <alignment horizontal="left" wrapText="1"/>
    </xf>
    <xf numFmtId="0" fontId="31" fillId="0" borderId="9" xfId="0" applyFont="1" applyFill="1" applyBorder="1" applyAlignment="1">
      <alignment horizontal="left" wrapText="1"/>
    </xf>
    <xf numFmtId="0" fontId="31" fillId="0" borderId="7" xfId="0" applyFont="1" applyFill="1" applyBorder="1" applyAlignment="1">
      <alignment horizontal="left" wrapText="1"/>
    </xf>
    <xf numFmtId="0" fontId="16" fillId="3" borderId="8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center"/>
    </xf>
    <xf numFmtId="0" fontId="16" fillId="0" borderId="1" xfId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left"/>
    </xf>
    <xf numFmtId="0" fontId="12" fillId="3" borderId="4" xfId="0" applyFont="1" applyFill="1" applyBorder="1" applyAlignment="1">
      <alignment horizontal="left"/>
    </xf>
    <xf numFmtId="9" fontId="11" fillId="0" borderId="6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4" fontId="17" fillId="3" borderId="6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 vertical="top" wrapText="1"/>
    </xf>
    <xf numFmtId="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/>
    </xf>
    <xf numFmtId="0" fontId="26" fillId="8" borderId="6" xfId="0" applyNumberFormat="1" applyFont="1" applyFill="1" applyBorder="1" applyAlignment="1">
      <alignment horizontal="left" vertical="top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left" vertical="center" wrapText="1"/>
    </xf>
    <xf numFmtId="0" fontId="11" fillId="0" borderId="19" xfId="0" applyFont="1" applyFill="1" applyBorder="1"/>
    <xf numFmtId="0" fontId="11" fillId="0" borderId="20" xfId="0" applyFont="1" applyFill="1" applyBorder="1"/>
    <xf numFmtId="0" fontId="12" fillId="3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vertical="top" wrapText="1"/>
    </xf>
    <xf numFmtId="0" fontId="12" fillId="3" borderId="2" xfId="0" applyFont="1" applyFill="1" applyBorder="1"/>
    <xf numFmtId="0" fontId="12" fillId="3" borderId="3" xfId="0" applyFont="1" applyFill="1" applyBorder="1"/>
    <xf numFmtId="0" fontId="12" fillId="3" borderId="4" xfId="0" applyFont="1" applyFill="1" applyBorder="1"/>
    <xf numFmtId="0" fontId="11" fillId="0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wrapText="1"/>
    </xf>
    <xf numFmtId="0" fontId="12" fillId="3" borderId="2" xfId="0" applyFont="1" applyFill="1" applyBorder="1" applyAlignment="1">
      <alignment horizontal="left" vertical="top"/>
    </xf>
    <xf numFmtId="0" fontId="12" fillId="3" borderId="3" xfId="0" applyFont="1" applyFill="1" applyBorder="1" applyAlignment="1">
      <alignment horizontal="left" vertical="top"/>
    </xf>
    <xf numFmtId="0" fontId="12" fillId="3" borderId="4" xfId="0" applyFont="1" applyFill="1" applyBorder="1" applyAlignment="1">
      <alignment horizontal="left" vertical="top"/>
    </xf>
    <xf numFmtId="0" fontId="11" fillId="0" borderId="1" xfId="0" applyFont="1" applyFill="1" applyBorder="1" applyAlignment="1">
      <alignment horizontal="left" vertical="top"/>
    </xf>
    <xf numFmtId="0" fontId="16" fillId="0" borderId="1" xfId="0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wrapText="1"/>
    </xf>
    <xf numFmtId="0" fontId="11" fillId="0" borderId="18" xfId="0" applyFont="1" applyFill="1" applyBorder="1" applyAlignment="1">
      <alignment vertical="top"/>
    </xf>
    <xf numFmtId="0" fontId="11" fillId="0" borderId="19" xfId="0" applyFont="1" applyFill="1" applyBorder="1" applyAlignment="1">
      <alignment vertical="top"/>
    </xf>
    <xf numFmtId="0" fontId="11" fillId="0" borderId="20" xfId="0" applyFont="1" applyFill="1" applyBorder="1" applyAlignment="1">
      <alignment vertical="top"/>
    </xf>
    <xf numFmtId="0" fontId="11" fillId="0" borderId="23" xfId="0" applyFont="1" applyFill="1" applyBorder="1" applyAlignment="1">
      <alignment vertical="top"/>
    </xf>
    <xf numFmtId="0" fontId="11" fillId="0" borderId="5" xfId="0" applyFont="1" applyFill="1" applyBorder="1" applyAlignment="1">
      <alignment vertical="top"/>
    </xf>
    <xf numFmtId="0" fontId="11" fillId="0" borderId="24" xfId="0" applyFont="1" applyFill="1" applyBorder="1" applyAlignment="1">
      <alignment vertical="top"/>
    </xf>
    <xf numFmtId="0" fontId="17" fillId="0" borderId="1" xfId="0" applyFont="1" applyBorder="1" applyAlignment="1">
      <alignment horizontal="center" wrapText="1"/>
    </xf>
    <xf numFmtId="0" fontId="16" fillId="3" borderId="6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 wrapText="1"/>
    </xf>
    <xf numFmtId="0" fontId="27" fillId="3" borderId="6" xfId="0" applyNumberFormat="1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/>
    </xf>
    <xf numFmtId="0" fontId="13" fillId="3" borderId="27" xfId="0" applyFont="1" applyFill="1" applyBorder="1" applyAlignment="1">
      <alignment horizontal="left" vertical="center"/>
    </xf>
    <xf numFmtId="0" fontId="13" fillId="3" borderId="28" xfId="0" applyFont="1" applyFill="1" applyBorder="1" applyAlignment="1">
      <alignment horizontal="left" vertical="center"/>
    </xf>
    <xf numFmtId="0" fontId="13" fillId="3" borderId="29" xfId="0" applyFont="1" applyFill="1" applyBorder="1" applyAlignment="1">
      <alignment horizontal="left" vertical="center"/>
    </xf>
    <xf numFmtId="4" fontId="12" fillId="3" borderId="6" xfId="0" applyNumberFormat="1" applyFont="1" applyFill="1" applyBorder="1" applyAlignment="1">
      <alignment horizontal="center"/>
    </xf>
    <xf numFmtId="0" fontId="12" fillId="3" borderId="6" xfId="0" applyNumberFormat="1" applyFont="1" applyFill="1" applyBorder="1" applyAlignment="1">
      <alignment horizontal="center"/>
    </xf>
    <xf numFmtId="0" fontId="11" fillId="0" borderId="6" xfId="0" applyFont="1" applyFill="1" applyBorder="1"/>
    <xf numFmtId="0" fontId="6" fillId="0" borderId="51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wrapText="1"/>
    </xf>
    <xf numFmtId="0" fontId="12" fillId="3" borderId="27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/>
    </xf>
    <xf numFmtId="0" fontId="5" fillId="2" borderId="0" xfId="0" applyNumberFormat="1" applyFont="1" applyFill="1" applyAlignment="1">
      <alignment horizontal="right"/>
    </xf>
    <xf numFmtId="0" fontId="11" fillId="3" borderId="27" xfId="0" applyFont="1" applyFill="1" applyBorder="1" applyAlignment="1">
      <alignment horizontal="center" vertical="center" wrapText="1"/>
    </xf>
    <xf numFmtId="0" fontId="11" fillId="3" borderId="28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right"/>
    </xf>
    <xf numFmtId="0" fontId="3" fillId="0" borderId="0" xfId="0" applyNumberFormat="1" applyFont="1" applyFill="1" applyAlignment="1">
      <alignment horizontal="right"/>
    </xf>
    <xf numFmtId="0" fontId="6" fillId="3" borderId="51" xfId="0" applyFont="1" applyFill="1" applyBorder="1" applyAlignment="1">
      <alignment horizontal="center" vertical="center"/>
    </xf>
    <xf numFmtId="0" fontId="4" fillId="3" borderId="51" xfId="0" applyFont="1" applyFill="1" applyBorder="1" applyAlignment="1">
      <alignment horizontal="center" vertical="center"/>
    </xf>
    <xf numFmtId="3" fontId="4" fillId="3" borderId="5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right" vertical="top"/>
    </xf>
    <xf numFmtId="0" fontId="5" fillId="2" borderId="0" xfId="0" applyNumberFormat="1" applyFont="1" applyFill="1" applyBorder="1" applyAlignment="1">
      <alignment horizontal="right" vertical="top"/>
    </xf>
    <xf numFmtId="0" fontId="6" fillId="0" borderId="0" xfId="0" applyFont="1" applyFill="1"/>
    <xf numFmtId="0" fontId="1" fillId="0" borderId="0" xfId="0" applyFont="1"/>
    <xf numFmtId="0" fontId="6" fillId="0" borderId="0" xfId="0" applyFont="1" applyFill="1" applyBorder="1" applyAlignment="1">
      <alignment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3" fontId="12" fillId="3" borderId="51" xfId="0" quotePrefix="1" applyNumberFormat="1" applyFont="1" applyFill="1" applyBorder="1" applyAlignment="1">
      <alignment horizontal="center" vertical="center" wrapText="1"/>
    </xf>
    <xf numFmtId="0" fontId="17" fillId="3" borderId="51" xfId="0" applyFont="1" applyFill="1" applyBorder="1" applyAlignment="1">
      <alignment horizontal="center" vertical="center" wrapText="1"/>
    </xf>
    <xf numFmtId="3" fontId="12" fillId="3" borderId="51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1" fillId="0" borderId="25" xfId="0" applyFont="1" applyFill="1" applyBorder="1"/>
    <xf numFmtId="0" fontId="16" fillId="0" borderId="8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3" fontId="11" fillId="0" borderId="8" xfId="0" applyNumberFormat="1" applyFont="1" applyFill="1" applyBorder="1" applyAlignment="1">
      <alignment horizontal="center" vertical="center"/>
    </xf>
    <xf numFmtId="3" fontId="11" fillId="0" borderId="9" xfId="0" applyNumberFormat="1" applyFont="1" applyFill="1" applyBorder="1" applyAlignment="1">
      <alignment horizontal="center" vertical="center"/>
    </xf>
    <xf numFmtId="3" fontId="11" fillId="0" borderId="7" xfId="0" applyNumberFormat="1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16" fillId="0" borderId="8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2" fillId="3" borderId="26" xfId="0" applyFont="1" applyFill="1" applyBorder="1" applyAlignment="1">
      <alignment vertical="center"/>
    </xf>
    <xf numFmtId="0" fontId="15" fillId="2" borderId="51" xfId="0" applyFont="1" applyFill="1" applyBorder="1" applyAlignment="1">
      <alignment horizontal="left" vertical="center"/>
    </xf>
    <xf numFmtId="0" fontId="0" fillId="0" borderId="51" xfId="0" applyFont="1" applyBorder="1" applyAlignment="1" applyProtection="1">
      <alignment horizontal="center" vertical="center"/>
    </xf>
    <xf numFmtId="0" fontId="7" fillId="2" borderId="51" xfId="0" applyFont="1" applyFill="1" applyBorder="1" applyAlignment="1" applyProtection="1">
      <alignment vertical="top" wrapText="1" indent="2"/>
    </xf>
    <xf numFmtId="0" fontId="0" fillId="19" borderId="51" xfId="0" applyFont="1" applyFill="1" applyBorder="1" applyAlignment="1" applyProtection="1">
      <alignment horizontal="center" vertical="center" wrapText="1"/>
    </xf>
    <xf numFmtId="0" fontId="30" fillId="0" borderId="42" xfId="2" applyNumberFormat="1" applyFont="1" applyBorder="1" applyAlignment="1">
      <alignment horizontal="center" vertical="center"/>
    </xf>
    <xf numFmtId="0" fontId="30" fillId="0" borderId="43" xfId="2" applyNumberFormat="1" applyFont="1" applyBorder="1" applyAlignment="1">
      <alignment horizontal="center" vertical="center"/>
    </xf>
    <xf numFmtId="0" fontId="30" fillId="0" borderId="44" xfId="2" applyNumberFormat="1" applyFont="1" applyBorder="1" applyAlignment="1">
      <alignment horizontal="center" vertical="center"/>
    </xf>
    <xf numFmtId="0" fontId="30" fillId="0" borderId="33" xfId="2" applyNumberFormat="1" applyFont="1" applyBorder="1" applyAlignment="1">
      <alignment horizontal="center" vertical="center"/>
    </xf>
    <xf numFmtId="0" fontId="30" fillId="0" borderId="40" xfId="2" applyNumberFormat="1" applyFont="1" applyBorder="1" applyAlignment="1">
      <alignment horizontal="center" vertical="center"/>
    </xf>
    <xf numFmtId="0" fontId="30" fillId="0" borderId="41" xfId="2" applyNumberFormat="1" applyFont="1" applyBorder="1" applyAlignment="1">
      <alignment horizontal="center" vertical="center"/>
    </xf>
    <xf numFmtId="0" fontId="30" fillId="0" borderId="34" xfId="2" applyNumberFormat="1" applyFont="1" applyBorder="1" applyAlignment="1">
      <alignment horizontal="center" vertical="center"/>
    </xf>
    <xf numFmtId="0" fontId="30" fillId="13" borderId="41" xfId="2" applyNumberFormat="1" applyFont="1" applyFill="1" applyBorder="1" applyAlignment="1">
      <alignment horizontal="center" vertical="center"/>
    </xf>
    <xf numFmtId="0" fontId="30" fillId="13" borderId="34" xfId="2" applyNumberFormat="1" applyFont="1" applyFill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2 2" xfId="3"/>
    <cellStyle name="Обычный 3" xfId="2"/>
    <cellStyle name="Обычный_Выгрузка из 1С" xfId="5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9B9"/>
      <color rgb="FFB3DADF"/>
      <color rgb="FF93B7FF"/>
      <color rgb="FFFF7C80"/>
      <color rgb="FFA397FB"/>
      <color rgb="FFFFABAB"/>
      <color rgb="FFFF99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117176</xdr:colOff>
      <xdr:row>216</xdr:row>
      <xdr:rowOff>57588</xdr:rowOff>
    </xdr:from>
    <xdr:to>
      <xdr:col>0</xdr:col>
      <xdr:colOff>1005121</xdr:colOff>
      <xdr:row>223</xdr:row>
      <xdr:rowOff>15222</xdr:rowOff>
    </xdr:to>
    <xdr:pic>
      <xdr:nvPicPr>
        <xdr:cNvPr id="2" name="Рисунок 1" descr="ÐÐ°ÑÑÐ¸Ð½ÐºÐ¸ Ð¿Ð¾ Ð·Ð°Ð¿ÑÐ¾ÑÑ Ð¿ÑÑÐ¼-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76" y="56411970"/>
          <a:ext cx="887945" cy="1055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5798</xdr:colOff>
      <xdr:row>256</xdr:row>
      <xdr:rowOff>94423</xdr:rowOff>
    </xdr:from>
    <xdr:to>
      <xdr:col>0</xdr:col>
      <xdr:colOff>1032841</xdr:colOff>
      <xdr:row>260</xdr:row>
      <xdr:rowOff>149846</xdr:rowOff>
    </xdr:to>
    <xdr:pic>
      <xdr:nvPicPr>
        <xdr:cNvPr id="3" name="Рисунок 2" descr="ÐÐ°ÑÑÐ¸Ð½ÐºÐ¸ Ð¿Ð¾ Ð·Ð°Ð¿ÑÐ¾ÑÑ ÑÐ¾ÐºÐ¾Ð²ÑÐ¹ Ð²ÑÑÐ¾Ð´ ÐÐ Ð­Ð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" y="66836098"/>
          <a:ext cx="1027043" cy="817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309</xdr:row>
      <xdr:rowOff>378717</xdr:rowOff>
    </xdr:from>
    <xdr:to>
      <xdr:col>2</xdr:col>
      <xdr:colOff>66978</xdr:colOff>
      <xdr:row>314</xdr:row>
      <xdr:rowOff>27597</xdr:rowOff>
    </xdr:to>
    <xdr:pic>
      <xdr:nvPicPr>
        <xdr:cNvPr id="4" name="Рисунок 3" descr="ÐÐ°ÑÑÐ¸Ð½ÐºÐ¸ Ð¿Ð¾ Ð·Ð°Ð¿ÑÐ¾ÑÑ Ð¼Ð°ÑÑÐµÑÑÐ»Ð¾Ñ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8" t="-755" r="8031" b="452"/>
        <a:stretch/>
      </xdr:blipFill>
      <xdr:spPr bwMode="auto">
        <a:xfrm>
          <a:off x="0" y="77059108"/>
          <a:ext cx="1152000" cy="1391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382</xdr:row>
      <xdr:rowOff>198370</xdr:rowOff>
    </xdr:from>
    <xdr:to>
      <xdr:col>2</xdr:col>
      <xdr:colOff>33128</xdr:colOff>
      <xdr:row>388</xdr:row>
      <xdr:rowOff>40731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628595"/>
          <a:ext cx="1118978" cy="11091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80</xdr:row>
      <xdr:rowOff>19050</xdr:rowOff>
    </xdr:from>
    <xdr:to>
      <xdr:col>0</xdr:col>
      <xdr:colOff>1066799</xdr:colOff>
      <xdr:row>84</xdr:row>
      <xdr:rowOff>40299</xdr:rowOff>
    </xdr:to>
    <xdr:pic>
      <xdr:nvPicPr>
        <xdr:cNvPr id="6" name="Рисунок 5" descr="http://termotronic.ru/images/pricelist/tv7m_front_680px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9639300"/>
          <a:ext cx="1038225" cy="78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90</xdr:row>
      <xdr:rowOff>5603</xdr:rowOff>
    </xdr:from>
    <xdr:to>
      <xdr:col>0</xdr:col>
      <xdr:colOff>809625</xdr:colOff>
      <xdr:row>92</xdr:row>
      <xdr:rowOff>143324</xdr:rowOff>
    </xdr:to>
    <xdr:pic>
      <xdr:nvPicPr>
        <xdr:cNvPr id="7" name="Рисунок 6" descr="http://termotronic.ru/images/pricelist/tv7m_eth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19223691"/>
          <a:ext cx="523874" cy="518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176007</xdr:colOff>
      <xdr:row>204</xdr:row>
      <xdr:rowOff>66676</xdr:rowOff>
    </xdr:from>
    <xdr:to>
      <xdr:col>0</xdr:col>
      <xdr:colOff>932312</xdr:colOff>
      <xdr:row>204</xdr:row>
      <xdr:rowOff>817020</xdr:rowOff>
    </xdr:to>
    <xdr:pic>
      <xdr:nvPicPr>
        <xdr:cNvPr id="11" name="Рисунок 10" descr="ÐÐ°ÑÑÐ¸Ð½ÐºÐ¸ Ð¿Ð¾ Ð·Ð°Ð¿ÑÐ¾ÑÑ ÑÐ¿Ð³74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07" y="56911876"/>
          <a:ext cx="756305" cy="750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196538</xdr:colOff>
      <xdr:row>208</xdr:row>
      <xdr:rowOff>5681</xdr:rowOff>
    </xdr:from>
    <xdr:to>
      <xdr:col>0</xdr:col>
      <xdr:colOff>973947</xdr:colOff>
      <xdr:row>210</xdr:row>
      <xdr:rowOff>1124</xdr:rowOff>
    </xdr:to>
    <xdr:pic>
      <xdr:nvPicPr>
        <xdr:cNvPr id="12" name="Рисунок 11" descr="ÐÐ°ÑÑÐ¸Ð½ÐºÐ¸ Ð¿Ð¾ Ð·Ð°Ð¿ÑÐ¾ÑÑ Ð²ÐºÐ³-3Ñ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38" y="60803756"/>
          <a:ext cx="777409" cy="77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57979</xdr:colOff>
      <xdr:row>153</xdr:row>
      <xdr:rowOff>24849</xdr:rowOff>
    </xdr:from>
    <xdr:to>
      <xdr:col>0</xdr:col>
      <xdr:colOff>977348</xdr:colOff>
      <xdr:row>154</xdr:row>
      <xdr:rowOff>94785</xdr:rowOff>
    </xdr:to>
    <xdr:pic>
      <xdr:nvPicPr>
        <xdr:cNvPr id="13" name="Рисунок 12" descr="ÐÐ°ÑÑÐ¸Ð½ÐºÐ¸ Ð¿Ð¾ Ð·Ð°Ð¿ÑÐ¾ÑÑ ÑÐ¼Ðº-Ð½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38591574"/>
          <a:ext cx="919369" cy="593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182218</xdr:colOff>
      <xdr:row>136</xdr:row>
      <xdr:rowOff>0</xdr:rowOff>
    </xdr:from>
    <xdr:to>
      <xdr:col>0</xdr:col>
      <xdr:colOff>902804</xdr:colOff>
      <xdr:row>140</xdr:row>
      <xdr:rowOff>30105</xdr:rowOff>
    </xdr:to>
    <xdr:pic>
      <xdr:nvPicPr>
        <xdr:cNvPr id="14" name="Рисунок 13" descr="https://www.menc.pro/upload/iblock/f1b/f1b32fdef4066a499527a7c0eecb624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18" y="35784597"/>
          <a:ext cx="720586" cy="71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75518</xdr:rowOff>
    </xdr:from>
    <xdr:to>
      <xdr:col>0</xdr:col>
      <xdr:colOff>1076740</xdr:colOff>
      <xdr:row>125</xdr:row>
      <xdr:rowOff>44180</xdr:rowOff>
    </xdr:to>
    <xdr:pic>
      <xdr:nvPicPr>
        <xdr:cNvPr id="15" name="Рисунок 14" descr="ÐÐ°ÑÑÐ¸Ð½ÐºÐ¸ Ð¿Ð¾ Ð·Ð°Ð¿ÑÐ¾ÑÑ ÑÐµÐ¿Ð»Ð¾Ð²ÑÑÐ¸ÑÐ»Ð¸ÑÐµÐ»Ñ ÐÐÐ¢-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2593"/>
          <a:ext cx="1076740" cy="864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92703</xdr:colOff>
      <xdr:row>96</xdr:row>
      <xdr:rowOff>40747</xdr:rowOff>
    </xdr:from>
    <xdr:to>
      <xdr:col>0</xdr:col>
      <xdr:colOff>1008345</xdr:colOff>
      <xdr:row>96</xdr:row>
      <xdr:rowOff>733400</xdr:rowOff>
    </xdr:to>
    <xdr:pic>
      <xdr:nvPicPr>
        <xdr:cNvPr id="16" name="Рисунок 15" descr="http://www.xn--80afpics.xn--p1ai/upload/iblock/ff6/ff698de7d18647ee006ab67fecf19ab7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03" y="29377747"/>
          <a:ext cx="915642" cy="69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198782</xdr:colOff>
      <xdr:row>173</xdr:row>
      <xdr:rowOff>165652</xdr:rowOff>
    </xdr:from>
    <xdr:to>
      <xdr:col>0</xdr:col>
      <xdr:colOff>924772</xdr:colOff>
      <xdr:row>177</xdr:row>
      <xdr:rowOff>33130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782" y="45047452"/>
          <a:ext cx="725990" cy="591379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182218</xdr:colOff>
      <xdr:row>180</xdr:row>
      <xdr:rowOff>16565</xdr:rowOff>
    </xdr:from>
    <xdr:to>
      <xdr:col>0</xdr:col>
      <xdr:colOff>934599</xdr:colOff>
      <xdr:row>182</xdr:row>
      <xdr:rowOff>178422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218" y="46193765"/>
          <a:ext cx="752381" cy="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182216</xdr:colOff>
      <xdr:row>184</xdr:row>
      <xdr:rowOff>66261</xdr:rowOff>
    </xdr:from>
    <xdr:to>
      <xdr:col>0</xdr:col>
      <xdr:colOff>915549</xdr:colOff>
      <xdr:row>187</xdr:row>
      <xdr:rowOff>1804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216" y="47005461"/>
          <a:ext cx="733333" cy="507043"/>
        </a:xfrm>
        <a:prstGeom prst="rect">
          <a:avLst/>
        </a:prstGeom>
      </xdr:spPr>
    </xdr:pic>
    <xdr:clientData/>
  </xdr:twoCellAnchor>
  <xdr:twoCellAnchor editAs="oneCell">
    <xdr:from>
      <xdr:col>0</xdr:col>
      <xdr:colOff>376620</xdr:colOff>
      <xdr:row>188</xdr:row>
      <xdr:rowOff>135185</xdr:rowOff>
    </xdr:from>
    <xdr:to>
      <xdr:col>0</xdr:col>
      <xdr:colOff>705972</xdr:colOff>
      <xdr:row>193</xdr:row>
      <xdr:rowOff>172648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6620" y="48410126"/>
          <a:ext cx="329352" cy="989963"/>
        </a:xfrm>
        <a:prstGeom prst="rect">
          <a:avLst/>
        </a:prstGeom>
      </xdr:spPr>
    </xdr:pic>
    <xdr:clientData/>
  </xdr:twoCellAnchor>
  <xdr:twoCellAnchor editAs="oneCell">
    <xdr:from>
      <xdr:col>0</xdr:col>
      <xdr:colOff>68697</xdr:colOff>
      <xdr:row>197</xdr:row>
      <xdr:rowOff>33131</xdr:rowOff>
    </xdr:from>
    <xdr:to>
      <xdr:col>0</xdr:col>
      <xdr:colOff>996349</xdr:colOff>
      <xdr:row>200</xdr:row>
      <xdr:rowOff>67445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697" y="50022572"/>
          <a:ext cx="927652" cy="605814"/>
        </a:xfrm>
        <a:prstGeom prst="rect">
          <a:avLst/>
        </a:prstGeom>
      </xdr:spPr>
    </xdr:pic>
    <xdr:clientData/>
  </xdr:twoCellAnchor>
  <xdr:twoCellAnchor editAs="oneCell">
    <xdr:from>
      <xdr:col>0</xdr:col>
      <xdr:colOff>298180</xdr:colOff>
      <xdr:row>348</xdr:row>
      <xdr:rowOff>173936</xdr:rowOff>
    </xdr:from>
    <xdr:to>
      <xdr:col>0</xdr:col>
      <xdr:colOff>836544</xdr:colOff>
      <xdr:row>354</xdr:row>
      <xdr:rowOff>373565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8180" y="89118386"/>
          <a:ext cx="538364" cy="2295129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430</xdr:row>
      <xdr:rowOff>56774</xdr:rowOff>
    </xdr:from>
    <xdr:to>
      <xdr:col>0</xdr:col>
      <xdr:colOff>1002274</xdr:colOff>
      <xdr:row>433</xdr:row>
      <xdr:rowOff>123668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853" y="99069149"/>
          <a:ext cx="901421" cy="99081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416</xdr:row>
      <xdr:rowOff>36980</xdr:rowOff>
    </xdr:from>
    <xdr:to>
      <xdr:col>0</xdr:col>
      <xdr:colOff>1004414</xdr:colOff>
      <xdr:row>420</xdr:row>
      <xdr:rowOff>59605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4300" y="96001355"/>
          <a:ext cx="890114" cy="1165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457</xdr:row>
      <xdr:rowOff>152400</xdr:rowOff>
    </xdr:from>
    <xdr:to>
      <xdr:col>0</xdr:col>
      <xdr:colOff>923817</xdr:colOff>
      <xdr:row>464</xdr:row>
      <xdr:rowOff>76958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50" y="104889300"/>
          <a:ext cx="866667" cy="1486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38100</xdr:rowOff>
    </xdr:from>
    <xdr:to>
      <xdr:col>0</xdr:col>
      <xdr:colOff>1057143</xdr:colOff>
      <xdr:row>445</xdr:row>
      <xdr:rowOff>115780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00926900"/>
          <a:ext cx="1057143" cy="163978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402</xdr:row>
      <xdr:rowOff>149040</xdr:rowOff>
    </xdr:from>
    <xdr:to>
      <xdr:col>10</xdr:col>
      <xdr:colOff>156882</xdr:colOff>
      <xdr:row>413</xdr:row>
      <xdr:rowOff>77442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20320" y="115569628"/>
          <a:ext cx="1457886" cy="2023902"/>
        </a:xfrm>
        <a:prstGeom prst="rect">
          <a:avLst/>
        </a:prstGeom>
      </xdr:spPr>
    </xdr:pic>
    <xdr:clientData/>
  </xdr:twoCellAnchor>
  <xdr:twoCellAnchor editAs="oneCell">
    <xdr:from>
      <xdr:col>12</xdr:col>
      <xdr:colOff>93003</xdr:colOff>
      <xdr:row>402</xdr:row>
      <xdr:rowOff>33057</xdr:rowOff>
    </xdr:from>
    <xdr:to>
      <xdr:col>38</xdr:col>
      <xdr:colOff>11200</xdr:colOff>
      <xdr:row>414</xdr:row>
      <xdr:rowOff>1395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72915" y="115453645"/>
          <a:ext cx="4579844" cy="219830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490</xdr:row>
      <xdr:rowOff>180975</xdr:rowOff>
    </xdr:from>
    <xdr:to>
      <xdr:col>0</xdr:col>
      <xdr:colOff>942976</xdr:colOff>
      <xdr:row>496</xdr:row>
      <xdr:rowOff>50345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9076" y="111947325"/>
          <a:ext cx="723900" cy="124097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359</xdr:row>
      <xdr:rowOff>28575</xdr:rowOff>
    </xdr:from>
    <xdr:to>
      <xdr:col>0</xdr:col>
      <xdr:colOff>1010750</xdr:colOff>
      <xdr:row>364</xdr:row>
      <xdr:rowOff>28576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775" y="92325825"/>
          <a:ext cx="9059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501</xdr:row>
      <xdr:rowOff>71718</xdr:rowOff>
    </xdr:from>
    <xdr:to>
      <xdr:col>0</xdr:col>
      <xdr:colOff>1056715</xdr:colOff>
      <xdr:row>505</xdr:row>
      <xdr:rowOff>133911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8612" y="172070806"/>
          <a:ext cx="958103" cy="119342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517</xdr:row>
      <xdr:rowOff>76199</xdr:rowOff>
    </xdr:from>
    <xdr:to>
      <xdr:col>0</xdr:col>
      <xdr:colOff>1002590</xdr:colOff>
      <xdr:row>523</xdr:row>
      <xdr:rowOff>95249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2400" y="180355874"/>
          <a:ext cx="850190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164167</xdr:colOff>
      <xdr:row>1436</xdr:row>
      <xdr:rowOff>44824</xdr:rowOff>
    </xdr:from>
    <xdr:to>
      <xdr:col>0</xdr:col>
      <xdr:colOff>983235</xdr:colOff>
      <xdr:row>1441</xdr:row>
      <xdr:rowOff>28574</xdr:rowOff>
    </xdr:to>
    <xdr:pic>
      <xdr:nvPicPr>
        <xdr:cNvPr id="42" name="Рисунок 41" descr="ÐÐ°ÑÑÐ¸Ð½ÐºÐ¸ Ð¿Ð¾ Ð·Ð°Ð¿ÑÐ¾ÑÑ ÐºÑÐ¿ÑÑ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67" y="194050024"/>
          <a:ext cx="819068" cy="93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309283</xdr:colOff>
      <xdr:row>1449</xdr:row>
      <xdr:rowOff>50987</xdr:rowOff>
    </xdr:from>
    <xdr:to>
      <xdr:col>0</xdr:col>
      <xdr:colOff>666750</xdr:colOff>
      <xdr:row>1453</xdr:row>
      <xdr:rowOff>136919</xdr:rowOff>
    </xdr:to>
    <xdr:pic>
      <xdr:nvPicPr>
        <xdr:cNvPr id="43" name="Рисунок 42" descr="ÐÐ°ÑÑÐ¸Ð½ÐºÐ¸ Ð¿Ð¾ Ð·Ð°Ð¿ÑÐ¾ÑÑ ÐºÑÐ¿ÑÑ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" r="51808"/>
        <a:stretch/>
      </xdr:blipFill>
      <xdr:spPr bwMode="auto">
        <a:xfrm>
          <a:off x="309283" y="196532687"/>
          <a:ext cx="357467" cy="847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1467</xdr:row>
      <xdr:rowOff>22414</xdr:rowOff>
    </xdr:from>
    <xdr:to>
      <xdr:col>0</xdr:col>
      <xdr:colOff>828034</xdr:colOff>
      <xdr:row>1472</xdr:row>
      <xdr:rowOff>19050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1" y="199952164"/>
          <a:ext cx="637533" cy="949136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403414</xdr:colOff>
      <xdr:row>1474</xdr:row>
      <xdr:rowOff>168091</xdr:rowOff>
    </xdr:from>
    <xdr:to>
      <xdr:col>0</xdr:col>
      <xdr:colOff>738669</xdr:colOff>
      <xdr:row>1479</xdr:row>
      <xdr:rowOff>57150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3414" y="201431341"/>
          <a:ext cx="335255" cy="841559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1486</xdr:row>
      <xdr:rowOff>31938</xdr:rowOff>
    </xdr:from>
    <xdr:to>
      <xdr:col>0</xdr:col>
      <xdr:colOff>986361</xdr:colOff>
      <xdr:row>1488</xdr:row>
      <xdr:rowOff>85726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4860" y="203590713"/>
          <a:ext cx="871501" cy="815788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1535</xdr:row>
      <xdr:rowOff>186017</xdr:rowOff>
    </xdr:from>
    <xdr:to>
      <xdr:col>0</xdr:col>
      <xdr:colOff>895350</xdr:colOff>
      <xdr:row>1539</xdr:row>
      <xdr:rowOff>178885</xdr:rowOff>
    </xdr:to>
    <xdr:pic>
      <xdr:nvPicPr>
        <xdr:cNvPr id="47" name="Рисунок 46" descr="ÐÐ°ÑÑÐ¸Ð½ÐºÐ¸ Ð¿Ð¾ Ð·Ð°Ð¿ÑÐ¾ÑÑ ÐºÐ¾Ð¼Ð¼ÑÐ½Ð°Ð»ÐµÑ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30" y="205849817"/>
          <a:ext cx="648820" cy="76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149679</xdr:colOff>
      <xdr:row>817</xdr:row>
      <xdr:rowOff>121665</xdr:rowOff>
    </xdr:from>
    <xdr:to>
      <xdr:col>0</xdr:col>
      <xdr:colOff>993322</xdr:colOff>
      <xdr:row>823</xdr:row>
      <xdr:rowOff>100892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9679" y="210758636"/>
          <a:ext cx="843643" cy="1122228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835</xdr:row>
      <xdr:rowOff>0</xdr:rowOff>
    </xdr:from>
    <xdr:to>
      <xdr:col>0</xdr:col>
      <xdr:colOff>911679</xdr:colOff>
      <xdr:row>841</xdr:row>
      <xdr:rowOff>40112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4108" y="199140537"/>
          <a:ext cx="707571" cy="1250347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1288</xdr:row>
      <xdr:rowOff>86445</xdr:rowOff>
    </xdr:from>
    <xdr:to>
      <xdr:col>0</xdr:col>
      <xdr:colOff>1042481</xdr:colOff>
      <xdr:row>1293</xdr:row>
      <xdr:rowOff>113659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430" y="220203592"/>
          <a:ext cx="988051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49625</xdr:colOff>
      <xdr:row>1308</xdr:row>
      <xdr:rowOff>99253</xdr:rowOff>
    </xdr:from>
    <xdr:to>
      <xdr:col>1</xdr:col>
      <xdr:colOff>0</xdr:colOff>
      <xdr:row>1314</xdr:row>
      <xdr:rowOff>1537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9625" y="223847106"/>
          <a:ext cx="1034143" cy="104528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1410</xdr:row>
      <xdr:rowOff>11206</xdr:rowOff>
    </xdr:from>
    <xdr:to>
      <xdr:col>0</xdr:col>
      <xdr:colOff>1032436</xdr:colOff>
      <xdr:row>1419</xdr:row>
      <xdr:rowOff>37859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7236" y="253925294"/>
          <a:ext cx="965200" cy="1483978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1356</xdr:row>
      <xdr:rowOff>67235</xdr:rowOff>
    </xdr:from>
    <xdr:to>
      <xdr:col>0</xdr:col>
      <xdr:colOff>1070405</xdr:colOff>
      <xdr:row>1357</xdr:row>
      <xdr:rowOff>56029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3619" y="228207794"/>
          <a:ext cx="1036786" cy="17929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1307</xdr:row>
      <xdr:rowOff>67235</xdr:rowOff>
    </xdr:from>
    <xdr:to>
      <xdr:col>0</xdr:col>
      <xdr:colOff>1070403</xdr:colOff>
      <xdr:row>1308</xdr:row>
      <xdr:rowOff>56029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3617" y="223624588"/>
          <a:ext cx="1036786" cy="179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1287</xdr:row>
      <xdr:rowOff>33618</xdr:rowOff>
    </xdr:from>
    <xdr:to>
      <xdr:col>0</xdr:col>
      <xdr:colOff>1047992</xdr:colOff>
      <xdr:row>1288</xdr:row>
      <xdr:rowOff>22412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206" y="219960265"/>
          <a:ext cx="1036786" cy="17929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531</xdr:row>
      <xdr:rowOff>78441</xdr:rowOff>
    </xdr:from>
    <xdr:to>
      <xdr:col>0</xdr:col>
      <xdr:colOff>1066992</xdr:colOff>
      <xdr:row>537</xdr:row>
      <xdr:rowOff>78438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6" y="192830823"/>
          <a:ext cx="1055786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540</xdr:row>
      <xdr:rowOff>102054</xdr:rowOff>
    </xdr:from>
    <xdr:to>
      <xdr:col>0</xdr:col>
      <xdr:colOff>942975</xdr:colOff>
      <xdr:row>546</xdr:row>
      <xdr:rowOff>68038</xdr:rowOff>
    </xdr:to>
    <xdr:pic>
      <xdr:nvPicPr>
        <xdr:cNvPr id="12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1936329"/>
          <a:ext cx="781050" cy="1051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236765</xdr:colOff>
      <xdr:row>547</xdr:row>
      <xdr:rowOff>110217</xdr:rowOff>
    </xdr:from>
    <xdr:to>
      <xdr:col>0</xdr:col>
      <xdr:colOff>876301</xdr:colOff>
      <xdr:row>552</xdr:row>
      <xdr:rowOff>156722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6765" y="123211317"/>
          <a:ext cx="639536" cy="95138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557</xdr:row>
      <xdr:rowOff>27215</xdr:rowOff>
    </xdr:from>
    <xdr:to>
      <xdr:col>0</xdr:col>
      <xdr:colOff>979714</xdr:colOff>
      <xdr:row>564</xdr:row>
      <xdr:rowOff>37617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8857" y="208665536"/>
          <a:ext cx="870857" cy="124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571</xdr:row>
      <xdr:rowOff>13608</xdr:rowOff>
    </xdr:from>
    <xdr:to>
      <xdr:col>0</xdr:col>
      <xdr:colOff>993321</xdr:colOff>
      <xdr:row>575</xdr:row>
      <xdr:rowOff>126466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8857" y="213251144"/>
          <a:ext cx="884464" cy="77560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1495</xdr:row>
      <xdr:rowOff>43223</xdr:rowOff>
    </xdr:from>
    <xdr:to>
      <xdr:col>0</xdr:col>
      <xdr:colOff>1051753</xdr:colOff>
      <xdr:row>1499</xdr:row>
      <xdr:rowOff>57599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4824" y="281366899"/>
          <a:ext cx="1006929" cy="686729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1389</xdr:row>
      <xdr:rowOff>13607</xdr:rowOff>
    </xdr:from>
    <xdr:to>
      <xdr:col>0</xdr:col>
      <xdr:colOff>1017293</xdr:colOff>
      <xdr:row>1395</xdr:row>
      <xdr:rowOff>68036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0822" y="257569607"/>
          <a:ext cx="976471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1357</xdr:row>
      <xdr:rowOff>149678</xdr:rowOff>
    </xdr:from>
    <xdr:to>
      <xdr:col>0</xdr:col>
      <xdr:colOff>985047</xdr:colOff>
      <xdr:row>1363</xdr:row>
      <xdr:rowOff>44773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8857" y="251419178"/>
          <a:ext cx="876190" cy="1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292</xdr:row>
      <xdr:rowOff>33617</xdr:rowOff>
    </xdr:from>
    <xdr:to>
      <xdr:col>0</xdr:col>
      <xdr:colOff>1048187</xdr:colOff>
      <xdr:row>298</xdr:row>
      <xdr:rowOff>62046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7235" y="74182941"/>
          <a:ext cx="980952" cy="1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105</xdr:row>
      <xdr:rowOff>44825</xdr:rowOff>
    </xdr:from>
    <xdr:to>
      <xdr:col>0</xdr:col>
      <xdr:colOff>896471</xdr:colOff>
      <xdr:row>107</xdr:row>
      <xdr:rowOff>303826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7736" y="27857825"/>
          <a:ext cx="638735" cy="976180"/>
        </a:xfrm>
        <a:prstGeom prst="rect">
          <a:avLst/>
        </a:prstGeom>
      </xdr:spPr>
    </xdr:pic>
    <xdr:clientData/>
  </xdr:twoCellAnchor>
  <xdr:twoCellAnchor editAs="oneCell">
    <xdr:from>
      <xdr:col>0</xdr:col>
      <xdr:colOff>43703</xdr:colOff>
      <xdr:row>585</xdr:row>
      <xdr:rowOff>150159</xdr:rowOff>
    </xdr:from>
    <xdr:to>
      <xdr:col>0</xdr:col>
      <xdr:colOff>1019734</xdr:colOff>
      <xdr:row>590</xdr:row>
      <xdr:rowOff>62902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3703" y="203592953"/>
          <a:ext cx="976031" cy="80921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601</xdr:row>
      <xdr:rowOff>161925</xdr:rowOff>
    </xdr:from>
    <xdr:to>
      <xdr:col>0</xdr:col>
      <xdr:colOff>1033617</xdr:colOff>
      <xdr:row>605</xdr:row>
      <xdr:rowOff>156324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7150" y="188521601"/>
          <a:ext cx="976467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762</xdr:row>
      <xdr:rowOff>22412</xdr:rowOff>
    </xdr:from>
    <xdr:to>
      <xdr:col>0</xdr:col>
      <xdr:colOff>1053353</xdr:colOff>
      <xdr:row>767</xdr:row>
      <xdr:rowOff>166414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3618" y="212441118"/>
          <a:ext cx="1019735" cy="1040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795</xdr:row>
      <xdr:rowOff>0</xdr:rowOff>
    </xdr:from>
    <xdr:to>
      <xdr:col>0</xdr:col>
      <xdr:colOff>896471</xdr:colOff>
      <xdr:row>799</xdr:row>
      <xdr:rowOff>172788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0148" y="217831147"/>
          <a:ext cx="616323" cy="8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184337</xdr:colOff>
      <xdr:row>786</xdr:row>
      <xdr:rowOff>212913</xdr:rowOff>
    </xdr:from>
    <xdr:to>
      <xdr:col>0</xdr:col>
      <xdr:colOff>879102</xdr:colOff>
      <xdr:row>791</xdr:row>
      <xdr:rowOff>113106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4337" y="167643363"/>
          <a:ext cx="694765" cy="87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779</xdr:row>
      <xdr:rowOff>52107</xdr:rowOff>
    </xdr:from>
    <xdr:to>
      <xdr:col>0</xdr:col>
      <xdr:colOff>1017100</xdr:colOff>
      <xdr:row>783</xdr:row>
      <xdr:rowOff>121024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206" y="166215732"/>
          <a:ext cx="1005894" cy="79281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805</xdr:row>
      <xdr:rowOff>19050</xdr:rowOff>
    </xdr:from>
    <xdr:to>
      <xdr:col>0</xdr:col>
      <xdr:colOff>885265</xdr:colOff>
      <xdr:row>810</xdr:row>
      <xdr:rowOff>43441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36177" y="171611925"/>
          <a:ext cx="549088" cy="948316"/>
        </a:xfrm>
        <a:prstGeom prst="rect">
          <a:avLst/>
        </a:prstGeom>
      </xdr:spPr>
    </xdr:pic>
    <xdr:clientData/>
  </xdr:twoCellAnchor>
  <xdr:twoCellAnchor editAs="oneCell">
    <xdr:from>
      <xdr:col>0</xdr:col>
      <xdr:colOff>244848</xdr:colOff>
      <xdr:row>609</xdr:row>
      <xdr:rowOff>92448</xdr:rowOff>
    </xdr:from>
    <xdr:to>
      <xdr:col>0</xdr:col>
      <xdr:colOff>911515</xdr:colOff>
      <xdr:row>613</xdr:row>
      <xdr:rowOff>2100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44848" y="133947273"/>
          <a:ext cx="666667" cy="711484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617</xdr:row>
      <xdr:rowOff>0</xdr:rowOff>
    </xdr:from>
    <xdr:to>
      <xdr:col>0</xdr:col>
      <xdr:colOff>863895</xdr:colOff>
      <xdr:row>620</xdr:row>
      <xdr:rowOff>166881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35324" y="223445294"/>
          <a:ext cx="628571" cy="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632</xdr:row>
      <xdr:rowOff>44823</xdr:rowOff>
    </xdr:from>
    <xdr:to>
      <xdr:col>0</xdr:col>
      <xdr:colOff>950155</xdr:colOff>
      <xdr:row>634</xdr:row>
      <xdr:rowOff>67186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2060" y="226179529"/>
          <a:ext cx="838095" cy="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89647</xdr:rowOff>
    </xdr:from>
    <xdr:to>
      <xdr:col>0</xdr:col>
      <xdr:colOff>1057143</xdr:colOff>
      <xdr:row>661</xdr:row>
      <xdr:rowOff>92961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232791000"/>
          <a:ext cx="1057143" cy="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662</xdr:row>
      <xdr:rowOff>168090</xdr:rowOff>
    </xdr:from>
    <xdr:to>
      <xdr:col>0</xdr:col>
      <xdr:colOff>1030940</xdr:colOff>
      <xdr:row>664</xdr:row>
      <xdr:rowOff>125605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9646" y="233407325"/>
          <a:ext cx="941294" cy="31610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667</xdr:row>
      <xdr:rowOff>22412</xdr:rowOff>
    </xdr:from>
    <xdr:to>
      <xdr:col>0</xdr:col>
      <xdr:colOff>1021111</xdr:colOff>
      <xdr:row>669</xdr:row>
      <xdr:rowOff>112058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412" y="234158118"/>
          <a:ext cx="998699" cy="44823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674</xdr:row>
      <xdr:rowOff>22412</xdr:rowOff>
    </xdr:from>
    <xdr:to>
      <xdr:col>0</xdr:col>
      <xdr:colOff>1041460</xdr:colOff>
      <xdr:row>677</xdr:row>
      <xdr:rowOff>27387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412" y="235413177"/>
          <a:ext cx="1019048" cy="5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123266</xdr:colOff>
      <xdr:row>685</xdr:row>
      <xdr:rowOff>56028</xdr:rowOff>
    </xdr:from>
    <xdr:to>
      <xdr:col>15</xdr:col>
      <xdr:colOff>114168</xdr:colOff>
      <xdr:row>685</xdr:row>
      <xdr:rowOff>532218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465295" y="230090381"/>
          <a:ext cx="1066667" cy="476190"/>
        </a:xfrm>
        <a:prstGeom prst="rect">
          <a:avLst/>
        </a:prstGeom>
      </xdr:spPr>
    </xdr:pic>
    <xdr:clientData/>
  </xdr:twoCellAnchor>
  <xdr:twoCellAnchor editAs="oneCell">
    <xdr:from>
      <xdr:col>32</xdr:col>
      <xdr:colOff>56030</xdr:colOff>
      <xdr:row>685</xdr:row>
      <xdr:rowOff>44823</xdr:rowOff>
    </xdr:from>
    <xdr:to>
      <xdr:col>37</xdr:col>
      <xdr:colOff>106300</xdr:colOff>
      <xdr:row>685</xdr:row>
      <xdr:rowOff>489063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521824" y="229731794"/>
          <a:ext cx="946741" cy="444240"/>
        </a:xfrm>
        <a:prstGeom prst="rect">
          <a:avLst/>
        </a:prstGeom>
      </xdr:spPr>
    </xdr:pic>
    <xdr:clientData/>
  </xdr:twoCellAnchor>
  <xdr:twoCellAnchor editAs="oneCell">
    <xdr:from>
      <xdr:col>10</xdr:col>
      <xdr:colOff>33617</xdr:colOff>
      <xdr:row>699</xdr:row>
      <xdr:rowOff>44822</xdr:rowOff>
    </xdr:from>
    <xdr:to>
      <xdr:col>16</xdr:col>
      <xdr:colOff>44823</xdr:colOff>
      <xdr:row>699</xdr:row>
      <xdr:rowOff>614187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4941" y="233026322"/>
          <a:ext cx="1086970" cy="569365"/>
        </a:xfrm>
        <a:prstGeom prst="rect">
          <a:avLst/>
        </a:prstGeom>
      </xdr:spPr>
    </xdr:pic>
    <xdr:clientData/>
  </xdr:twoCellAnchor>
  <xdr:twoCellAnchor editAs="oneCell">
    <xdr:from>
      <xdr:col>32</xdr:col>
      <xdr:colOff>44824</xdr:colOff>
      <xdr:row>699</xdr:row>
      <xdr:rowOff>44824</xdr:rowOff>
    </xdr:from>
    <xdr:to>
      <xdr:col>37</xdr:col>
      <xdr:colOff>123263</xdr:colOff>
      <xdr:row>699</xdr:row>
      <xdr:rowOff>590773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510618" y="232678942"/>
          <a:ext cx="974910" cy="54594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713</xdr:row>
      <xdr:rowOff>33618</xdr:rowOff>
    </xdr:from>
    <xdr:to>
      <xdr:col>0</xdr:col>
      <xdr:colOff>1064558</xdr:colOff>
      <xdr:row>717</xdr:row>
      <xdr:rowOff>135330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2411" y="244108942"/>
          <a:ext cx="1042147" cy="78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719</xdr:row>
      <xdr:rowOff>89647</xdr:rowOff>
    </xdr:from>
    <xdr:to>
      <xdr:col>0</xdr:col>
      <xdr:colOff>1046605</xdr:colOff>
      <xdr:row>723</xdr:row>
      <xdr:rowOff>56031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3619" y="245330382"/>
          <a:ext cx="1012986" cy="683559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726</xdr:row>
      <xdr:rowOff>100854</xdr:rowOff>
    </xdr:from>
    <xdr:to>
      <xdr:col>0</xdr:col>
      <xdr:colOff>1065753</xdr:colOff>
      <xdr:row>731</xdr:row>
      <xdr:rowOff>33618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3619" y="246596648"/>
          <a:ext cx="1032134" cy="82923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735</xdr:row>
      <xdr:rowOff>89646</xdr:rowOff>
    </xdr:from>
    <xdr:to>
      <xdr:col>0</xdr:col>
      <xdr:colOff>1064558</xdr:colOff>
      <xdr:row>740</xdr:row>
      <xdr:rowOff>172967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2412" y="248199087"/>
          <a:ext cx="1042146" cy="9797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0</xdr:col>
      <xdr:colOff>847619</xdr:colOff>
      <xdr:row>751</xdr:row>
      <xdr:rowOff>151145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249061941"/>
          <a:ext cx="847619" cy="10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753</xdr:row>
      <xdr:rowOff>11206</xdr:rowOff>
    </xdr:from>
    <xdr:to>
      <xdr:col>0</xdr:col>
      <xdr:colOff>893580</xdr:colOff>
      <xdr:row>756</xdr:row>
      <xdr:rowOff>168560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9294" y="250328206"/>
          <a:ext cx="714286" cy="69523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472</xdr:row>
      <xdr:rowOff>38100</xdr:rowOff>
    </xdr:from>
    <xdr:ext cx="1057143" cy="1639781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00926900"/>
          <a:ext cx="1057143" cy="163978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861</xdr:row>
      <xdr:rowOff>582706</xdr:rowOff>
    </xdr:from>
    <xdr:to>
      <xdr:col>0</xdr:col>
      <xdr:colOff>1038193</xdr:colOff>
      <xdr:row>865</xdr:row>
      <xdr:rowOff>190499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180762088"/>
          <a:ext cx="1038193" cy="7844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866</xdr:row>
      <xdr:rowOff>22412</xdr:rowOff>
    </xdr:from>
    <xdr:to>
      <xdr:col>0</xdr:col>
      <xdr:colOff>1064559</xdr:colOff>
      <xdr:row>870</xdr:row>
      <xdr:rowOff>103709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" y="181568912"/>
          <a:ext cx="1064558" cy="8432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22411</xdr:rowOff>
    </xdr:from>
    <xdr:to>
      <xdr:col>0</xdr:col>
      <xdr:colOff>1044878</xdr:colOff>
      <xdr:row>896</xdr:row>
      <xdr:rowOff>152214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186342617"/>
          <a:ext cx="1044878" cy="970244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906</xdr:row>
      <xdr:rowOff>170127</xdr:rowOff>
    </xdr:from>
    <xdr:to>
      <xdr:col>1</xdr:col>
      <xdr:colOff>0</xdr:colOff>
      <xdr:row>915</xdr:row>
      <xdr:rowOff>136509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9273" y="188158991"/>
          <a:ext cx="1030366" cy="1525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22412</xdr:rowOff>
    </xdr:from>
    <xdr:to>
      <xdr:col>0</xdr:col>
      <xdr:colOff>1043298</xdr:colOff>
      <xdr:row>975</xdr:row>
      <xdr:rowOff>156883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199644000"/>
          <a:ext cx="1043298" cy="1086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134472</xdr:rowOff>
    </xdr:from>
    <xdr:to>
      <xdr:col>0</xdr:col>
      <xdr:colOff>1075765</xdr:colOff>
      <xdr:row>981</xdr:row>
      <xdr:rowOff>87534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200708560"/>
          <a:ext cx="1075765" cy="10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987</xdr:row>
      <xdr:rowOff>0</xdr:rowOff>
    </xdr:from>
    <xdr:to>
      <xdr:col>0</xdr:col>
      <xdr:colOff>1073105</xdr:colOff>
      <xdr:row>992</xdr:row>
      <xdr:rowOff>145677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" y="202860088"/>
          <a:ext cx="1073104" cy="109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0</xdr:rowOff>
    </xdr:from>
    <xdr:to>
      <xdr:col>0</xdr:col>
      <xdr:colOff>1067955</xdr:colOff>
      <xdr:row>1029</xdr:row>
      <xdr:rowOff>115706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209718088"/>
          <a:ext cx="1067955" cy="1258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1047</xdr:row>
      <xdr:rowOff>0</xdr:rowOff>
    </xdr:from>
    <xdr:to>
      <xdr:col>0</xdr:col>
      <xdr:colOff>1038083</xdr:colOff>
      <xdr:row>1051</xdr:row>
      <xdr:rowOff>86591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213758318"/>
          <a:ext cx="1038083" cy="848591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1066</xdr:row>
      <xdr:rowOff>103909</xdr:rowOff>
    </xdr:from>
    <xdr:to>
      <xdr:col>0</xdr:col>
      <xdr:colOff>1056409</xdr:colOff>
      <xdr:row>1071</xdr:row>
      <xdr:rowOff>17873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4636" y="217481727"/>
          <a:ext cx="1021773" cy="8664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17319</xdr:rowOff>
    </xdr:from>
    <xdr:to>
      <xdr:col>1</xdr:col>
      <xdr:colOff>0</xdr:colOff>
      <xdr:row>1087</xdr:row>
      <xdr:rowOff>103909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220824137"/>
          <a:ext cx="1091831" cy="658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0</xdr:col>
      <xdr:colOff>1073727</xdr:colOff>
      <xdr:row>1106</xdr:row>
      <xdr:rowOff>126031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224426318"/>
          <a:ext cx="1073727" cy="6975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1113</xdr:row>
      <xdr:rowOff>0</xdr:rowOff>
    </xdr:from>
    <xdr:to>
      <xdr:col>0</xdr:col>
      <xdr:colOff>1050825</xdr:colOff>
      <xdr:row>1118</xdr:row>
      <xdr:rowOff>34637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" y="226331318"/>
          <a:ext cx="1050824" cy="98713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1132</xdr:row>
      <xdr:rowOff>17319</xdr:rowOff>
    </xdr:from>
    <xdr:to>
      <xdr:col>0</xdr:col>
      <xdr:colOff>1041105</xdr:colOff>
      <xdr:row>1137</xdr:row>
      <xdr:rowOff>155864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34637" y="229968137"/>
          <a:ext cx="1006468" cy="1091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0</xdr:col>
      <xdr:colOff>1077575</xdr:colOff>
      <xdr:row>1149</xdr:row>
      <xdr:rowOff>17318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232236818"/>
          <a:ext cx="1077575" cy="9698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1212</xdr:row>
      <xdr:rowOff>1</xdr:rowOff>
    </xdr:from>
    <xdr:to>
      <xdr:col>0</xdr:col>
      <xdr:colOff>1065069</xdr:colOff>
      <xdr:row>1217</xdr:row>
      <xdr:rowOff>17319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" y="245190819"/>
          <a:ext cx="1065068" cy="969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1255</xdr:row>
      <xdr:rowOff>0</xdr:rowOff>
    </xdr:from>
    <xdr:to>
      <xdr:col>0</xdr:col>
      <xdr:colOff>1056409</xdr:colOff>
      <xdr:row>1260</xdr:row>
      <xdr:rowOff>46382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253399636"/>
          <a:ext cx="1056409" cy="998882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138547</xdr:colOff>
      <xdr:row>1276</xdr:row>
      <xdr:rowOff>190502</xdr:rowOff>
    </xdr:from>
    <xdr:to>
      <xdr:col>0</xdr:col>
      <xdr:colOff>1073729</xdr:colOff>
      <xdr:row>1283</xdr:row>
      <xdr:rowOff>14458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8547" y="257590638"/>
          <a:ext cx="935182" cy="117477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3</xdr:row>
      <xdr:rowOff>136072</xdr:rowOff>
    </xdr:from>
    <xdr:to>
      <xdr:col>2</xdr:col>
      <xdr:colOff>32291</xdr:colOff>
      <xdr:row>8</xdr:row>
      <xdr:rowOff>122464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8035" y="843643"/>
          <a:ext cx="1052827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9</xdr:row>
      <xdr:rowOff>108857</xdr:rowOff>
    </xdr:from>
    <xdr:to>
      <xdr:col>0</xdr:col>
      <xdr:colOff>1060531</xdr:colOff>
      <xdr:row>13</xdr:row>
      <xdr:rowOff>176892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4428" y="1877786"/>
          <a:ext cx="1006103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69639</xdr:colOff>
      <xdr:row>15</xdr:row>
      <xdr:rowOff>24814</xdr:rowOff>
    </xdr:from>
    <xdr:to>
      <xdr:col>0</xdr:col>
      <xdr:colOff>1081608</xdr:colOff>
      <xdr:row>20</xdr:row>
      <xdr:rowOff>188099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639" y="2949549"/>
          <a:ext cx="1059594" cy="11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74439</xdr:colOff>
      <xdr:row>35</xdr:row>
      <xdr:rowOff>38421</xdr:rowOff>
    </xdr:from>
    <xdr:to>
      <xdr:col>0</xdr:col>
      <xdr:colOff>1085449</xdr:colOff>
      <xdr:row>40</xdr:row>
      <xdr:rowOff>79242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74439" y="6705921"/>
          <a:ext cx="1020535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51</xdr:row>
      <xdr:rowOff>100853</xdr:rowOff>
    </xdr:from>
    <xdr:to>
      <xdr:col>0</xdr:col>
      <xdr:colOff>1084678</xdr:colOff>
      <xdr:row>56</xdr:row>
      <xdr:rowOff>118171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7235" y="9816353"/>
          <a:ext cx="1065068" cy="96981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58</xdr:row>
      <xdr:rowOff>13608</xdr:rowOff>
    </xdr:from>
    <xdr:to>
      <xdr:col>0</xdr:col>
      <xdr:colOff>1047750</xdr:colOff>
      <xdr:row>63</xdr:row>
      <xdr:rowOff>46265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0821" y="10844894"/>
          <a:ext cx="1006929" cy="985157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64</xdr:row>
      <xdr:rowOff>13608</xdr:rowOff>
    </xdr:from>
    <xdr:to>
      <xdr:col>0</xdr:col>
      <xdr:colOff>925287</xdr:colOff>
      <xdr:row>67</xdr:row>
      <xdr:rowOff>184766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7715" y="12178394"/>
          <a:ext cx="707572" cy="742658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43</xdr:row>
      <xdr:rowOff>150479</xdr:rowOff>
    </xdr:from>
    <xdr:to>
      <xdr:col>0</xdr:col>
      <xdr:colOff>979715</xdr:colOff>
      <xdr:row>49</xdr:row>
      <xdr:rowOff>80232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8536" y="8341979"/>
          <a:ext cx="721179" cy="107275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22</xdr:row>
      <xdr:rowOff>1</xdr:rowOff>
    </xdr:from>
    <xdr:to>
      <xdr:col>1</xdr:col>
      <xdr:colOff>0</xdr:colOff>
      <xdr:row>27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7236" y="4258236"/>
          <a:ext cx="103981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151279</xdr:colOff>
      <xdr:row>28</xdr:row>
      <xdr:rowOff>55227</xdr:rowOff>
    </xdr:from>
    <xdr:to>
      <xdr:col>0</xdr:col>
      <xdr:colOff>1036993</xdr:colOff>
      <xdr:row>33</xdr:row>
      <xdr:rowOff>30596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51279" y="5456462"/>
          <a:ext cx="885714" cy="894252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68</xdr:row>
      <xdr:rowOff>56644</xdr:rowOff>
    </xdr:from>
    <xdr:to>
      <xdr:col>0</xdr:col>
      <xdr:colOff>1061358</xdr:colOff>
      <xdr:row>72</xdr:row>
      <xdr:rowOff>169798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1644" y="12983430"/>
          <a:ext cx="979714" cy="90236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334</xdr:row>
      <xdr:rowOff>22413</xdr:rowOff>
    </xdr:from>
    <xdr:to>
      <xdr:col>0</xdr:col>
      <xdr:colOff>1086183</xdr:colOff>
      <xdr:row>338</xdr:row>
      <xdr:rowOff>179295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4824" y="79124737"/>
          <a:ext cx="1117559" cy="9188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TL1557"/>
  <sheetViews>
    <sheetView tabSelected="1" zoomScale="70" zoomScaleNormal="70" zoomScaleSheetLayoutView="70" zoomScalePageLayoutView="80" workbookViewId="0">
      <selection activeCell="AZ4" sqref="AZ4"/>
    </sheetView>
  </sheetViews>
  <sheetFormatPr defaultRowHeight="15" x14ac:dyDescent="0.25"/>
  <cols>
    <col min="1" max="1" width="16.28515625" style="4" customWidth="1"/>
    <col min="2" max="2" width="0.42578125" style="4" hidden="1" customWidth="1"/>
    <col min="3" max="45" width="2.7109375" style="22" customWidth="1"/>
    <col min="46" max="48" width="2.7109375" style="30" hidden="1" customWidth="1"/>
    <col min="49" max="49" width="0.28515625" style="30" customWidth="1"/>
    <col min="50" max="50" width="8.5703125" style="30" hidden="1" customWidth="1"/>
    <col min="51" max="16384" width="9.140625" style="30"/>
  </cols>
  <sheetData>
    <row r="1" spans="1:45" s="1" customFormat="1" ht="27.75" customHeight="1" x14ac:dyDescent="0.25">
      <c r="A1" s="158"/>
      <c r="B1" s="159"/>
      <c r="C1" s="160"/>
      <c r="D1" s="160"/>
      <c r="E1" s="160"/>
      <c r="F1" s="160"/>
      <c r="G1" s="160"/>
      <c r="H1" s="160"/>
      <c r="I1" s="160"/>
      <c r="J1" s="160"/>
      <c r="K1" s="523" t="s">
        <v>3267</v>
      </c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 s="523"/>
      <c r="AD1" s="523"/>
      <c r="AE1" s="523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2"/>
      <c r="AR1" s="12"/>
      <c r="AS1" s="12"/>
    </row>
    <row r="2" spans="1:45" s="1" customFormat="1" ht="14.25" customHeight="1" x14ac:dyDescent="0.25">
      <c r="A2" s="18"/>
      <c r="B2" s="61"/>
      <c r="C2" s="60"/>
      <c r="D2" s="60"/>
      <c r="E2" s="60"/>
      <c r="F2" s="60"/>
      <c r="G2" s="60"/>
      <c r="H2" s="60"/>
      <c r="I2" s="60"/>
      <c r="J2" s="60"/>
      <c r="K2" s="21"/>
      <c r="L2" s="60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165"/>
      <c r="AO2" s="31"/>
      <c r="AP2" s="31"/>
      <c r="AQ2" s="16"/>
      <c r="AR2" s="16"/>
      <c r="AS2" s="16" t="s">
        <v>3266</v>
      </c>
    </row>
    <row r="3" spans="1:45" s="1" customFormat="1" ht="14.25" customHeight="1" x14ac:dyDescent="0.25">
      <c r="A3" s="18"/>
      <c r="B3" s="61"/>
      <c r="C3" s="524" t="s">
        <v>189</v>
      </c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167"/>
      <c r="AO3" s="167"/>
      <c r="AP3" s="31"/>
      <c r="AQ3" s="16"/>
      <c r="AR3" s="16"/>
      <c r="AS3" s="16"/>
    </row>
    <row r="4" spans="1:45" s="1" customFormat="1" ht="14.25" customHeight="1" x14ac:dyDescent="0.25">
      <c r="A4" s="18"/>
      <c r="B4" s="61"/>
      <c r="C4" s="525" t="s">
        <v>1921</v>
      </c>
      <c r="D4" s="525"/>
      <c r="E4" s="525"/>
      <c r="F4" s="525"/>
      <c r="G4" s="525"/>
      <c r="H4" s="525"/>
      <c r="I4" s="525"/>
      <c r="J4" s="525"/>
      <c r="K4" s="525"/>
      <c r="L4" s="525"/>
      <c r="M4" s="525"/>
      <c r="N4" s="525"/>
      <c r="O4" s="525"/>
      <c r="P4" s="525"/>
      <c r="Q4" s="525"/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699"/>
      <c r="AO4" s="699"/>
      <c r="AP4" s="31"/>
      <c r="AQ4" s="16"/>
      <c r="AR4" s="16"/>
      <c r="AS4" s="16"/>
    </row>
    <row r="5" spans="1:45" s="1" customFormat="1" ht="14.25" customHeight="1" x14ac:dyDescent="0.25">
      <c r="A5" s="18"/>
      <c r="B5" s="61"/>
      <c r="C5" s="525" t="s">
        <v>1922</v>
      </c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699"/>
      <c r="AO5" s="699"/>
      <c r="AP5" s="31"/>
      <c r="AQ5" s="16"/>
      <c r="AR5" s="16"/>
      <c r="AS5" s="16"/>
    </row>
    <row r="6" spans="1:45" s="1" customFormat="1" ht="14.25" customHeight="1" x14ac:dyDescent="0.25">
      <c r="A6" s="18"/>
      <c r="B6" s="61"/>
      <c r="C6" s="525" t="s">
        <v>1923</v>
      </c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699"/>
      <c r="AO6" s="699"/>
      <c r="AP6" s="31"/>
      <c r="AQ6" s="16"/>
      <c r="AR6" s="16"/>
      <c r="AS6" s="16"/>
    </row>
    <row r="7" spans="1:45" s="1" customFormat="1" ht="14.25" customHeight="1" x14ac:dyDescent="0.25">
      <c r="A7" s="18"/>
      <c r="B7" s="61"/>
      <c r="C7" s="525" t="s">
        <v>1924</v>
      </c>
      <c r="D7" s="525"/>
      <c r="E7" s="525"/>
      <c r="F7" s="525"/>
      <c r="G7" s="525"/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699"/>
      <c r="AO7" s="699"/>
      <c r="AP7" s="31"/>
      <c r="AQ7" s="16"/>
      <c r="AR7" s="16"/>
      <c r="AS7" s="16"/>
    </row>
    <row r="8" spans="1:45" s="1" customFormat="1" ht="14.25" customHeight="1" x14ac:dyDescent="0.25">
      <c r="A8" s="18"/>
      <c r="B8" s="61"/>
      <c r="C8" s="525" t="s">
        <v>1925</v>
      </c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699"/>
      <c r="AO8" s="699"/>
      <c r="AP8" s="31"/>
      <c r="AQ8" s="16"/>
      <c r="AR8" s="16"/>
      <c r="AS8" s="16"/>
    </row>
    <row r="9" spans="1:45" s="1" customFormat="1" ht="14.25" customHeight="1" x14ac:dyDescent="0.25">
      <c r="A9" s="18"/>
      <c r="B9" s="61"/>
      <c r="C9" s="525" t="s">
        <v>1926</v>
      </c>
      <c r="D9" s="525"/>
      <c r="E9" s="525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699"/>
      <c r="AO9" s="699"/>
      <c r="AP9" s="31"/>
      <c r="AQ9" s="16"/>
      <c r="AR9" s="16"/>
      <c r="AS9" s="16"/>
    </row>
    <row r="10" spans="1:45" x14ac:dyDescent="0.25"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18"/>
      <c r="Q10" s="518"/>
      <c r="R10" s="518"/>
      <c r="S10" s="518"/>
      <c r="T10" s="518"/>
      <c r="U10" s="518"/>
      <c r="V10" s="518"/>
      <c r="W10" s="518"/>
      <c r="X10" s="518"/>
      <c r="Y10" s="518"/>
      <c r="Z10" s="518"/>
      <c r="AA10" s="518"/>
      <c r="AB10" s="518"/>
      <c r="AC10" s="518"/>
      <c r="AD10" s="518"/>
      <c r="AE10" s="518"/>
      <c r="AF10" s="518"/>
      <c r="AG10" s="518"/>
      <c r="AH10" s="518"/>
      <c r="AI10" s="518"/>
      <c r="AJ10" s="518"/>
      <c r="AK10" s="518"/>
      <c r="AL10" s="518"/>
      <c r="AM10" s="518"/>
      <c r="AN10" s="699"/>
      <c r="AO10" s="699"/>
    </row>
    <row r="11" spans="1:45" x14ac:dyDescent="0.25">
      <c r="C11" s="164" t="s">
        <v>220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700"/>
      <c r="AO11" s="700"/>
    </row>
    <row r="12" spans="1:45" x14ac:dyDescent="0.25">
      <c r="C12" s="522" t="s">
        <v>1920</v>
      </c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2"/>
      <c r="AE12" s="522"/>
      <c r="AF12" s="522"/>
      <c r="AG12" s="522"/>
      <c r="AH12" s="522"/>
      <c r="AI12" s="522"/>
      <c r="AJ12" s="522"/>
      <c r="AK12" s="522"/>
      <c r="AL12" s="522"/>
      <c r="AM12" s="522"/>
      <c r="AN12" s="701"/>
      <c r="AO12" s="701"/>
    </row>
    <row r="13" spans="1:45" x14ac:dyDescent="0.25">
      <c r="C13" s="522" t="s">
        <v>1919</v>
      </c>
      <c r="D13" s="522"/>
      <c r="E13" s="522"/>
      <c r="F13" s="522"/>
      <c r="G13" s="522"/>
      <c r="H13" s="522"/>
      <c r="I13" s="522"/>
      <c r="J13" s="522"/>
      <c r="K13" s="522"/>
      <c r="L13" s="522"/>
      <c r="M13" s="522"/>
      <c r="N13" s="522"/>
      <c r="O13" s="522"/>
      <c r="P13" s="522"/>
      <c r="Q13" s="522"/>
      <c r="R13" s="522"/>
      <c r="S13" s="522"/>
      <c r="T13" s="522"/>
      <c r="U13" s="522"/>
      <c r="V13" s="522"/>
      <c r="W13" s="522"/>
      <c r="X13" s="522"/>
      <c r="Y13" s="522"/>
      <c r="Z13" s="522"/>
      <c r="AA13" s="522"/>
      <c r="AB13" s="522"/>
      <c r="AC13" s="522"/>
      <c r="AD13" s="522"/>
      <c r="AE13" s="522"/>
      <c r="AF13" s="522"/>
      <c r="AG13" s="522"/>
      <c r="AH13" s="522"/>
      <c r="AI13" s="522"/>
      <c r="AJ13" s="522"/>
      <c r="AK13" s="522"/>
      <c r="AL13" s="522"/>
      <c r="AM13" s="522"/>
      <c r="AN13" s="699"/>
      <c r="AO13" s="699"/>
    </row>
    <row r="14" spans="1:45" x14ac:dyDescent="0.25"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2"/>
      <c r="AO14" s="312"/>
    </row>
    <row r="15" spans="1:45" x14ac:dyDescent="0.25">
      <c r="C15" s="519" t="s">
        <v>586</v>
      </c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519"/>
      <c r="R15" s="519"/>
      <c r="S15" s="519"/>
      <c r="T15" s="519"/>
      <c r="U15" s="519"/>
      <c r="V15" s="519"/>
      <c r="W15" s="519"/>
      <c r="X15" s="519"/>
      <c r="Y15" s="519"/>
      <c r="Z15" s="519"/>
      <c r="AA15" s="519"/>
      <c r="AB15" s="519"/>
      <c r="AC15" s="519"/>
      <c r="AD15" s="519"/>
      <c r="AE15" s="519"/>
      <c r="AF15" s="519"/>
      <c r="AG15" s="519"/>
      <c r="AH15" s="519"/>
      <c r="AI15" s="519"/>
      <c r="AJ15" s="519"/>
      <c r="AK15" s="519"/>
      <c r="AL15" s="519"/>
      <c r="AM15" s="519"/>
      <c r="AN15" s="687"/>
      <c r="AO15" s="687"/>
    </row>
    <row r="16" spans="1:45" x14ac:dyDescent="0.25">
      <c r="A16" s="30"/>
      <c r="B16" s="30"/>
      <c r="C16" s="520" t="s">
        <v>761</v>
      </c>
      <c r="D16" s="520"/>
      <c r="E16" s="520"/>
      <c r="F16" s="520"/>
      <c r="G16" s="520"/>
      <c r="H16" s="520"/>
      <c r="I16" s="520"/>
      <c r="J16" s="520"/>
      <c r="K16" s="520"/>
      <c r="L16" s="520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  <c r="Y16" s="520"/>
      <c r="Z16" s="520"/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520"/>
      <c r="AL16" s="520"/>
      <c r="AM16" s="520"/>
      <c r="AN16" s="699"/>
      <c r="AO16" s="699"/>
      <c r="AP16" s="30"/>
      <c r="AQ16" s="30"/>
      <c r="AR16" s="30"/>
      <c r="AS16" s="30"/>
    </row>
    <row r="17" spans="1:45" x14ac:dyDescent="0.25">
      <c r="A17" s="30"/>
      <c r="B17" s="30"/>
      <c r="C17" s="520" t="s">
        <v>760</v>
      </c>
      <c r="D17" s="520"/>
      <c r="E17" s="520"/>
      <c r="F17" s="520"/>
      <c r="G17" s="520"/>
      <c r="H17" s="520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699"/>
      <c r="AO17" s="699"/>
      <c r="AP17" s="30"/>
      <c r="AQ17" s="30"/>
      <c r="AR17" s="30"/>
      <c r="AS17" s="30"/>
    </row>
    <row r="18" spans="1:45" x14ac:dyDescent="0.25">
      <c r="A18" s="30"/>
      <c r="B18" s="30"/>
      <c r="C18" s="520" t="s">
        <v>763</v>
      </c>
      <c r="D18" s="520"/>
      <c r="E18" s="520"/>
      <c r="F18" s="520"/>
      <c r="G18" s="520"/>
      <c r="H18" s="520"/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694"/>
      <c r="AO18" s="694"/>
      <c r="AP18" s="30"/>
      <c r="AQ18" s="30"/>
      <c r="AR18" s="30"/>
      <c r="AS18" s="30"/>
    </row>
    <row r="19" spans="1:45" x14ac:dyDescent="0.25">
      <c r="A19" s="30"/>
      <c r="B19" s="30"/>
      <c r="C19" s="520" t="s">
        <v>759</v>
      </c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0"/>
      <c r="AL19" s="520"/>
      <c r="AM19" s="520"/>
      <c r="AN19" s="694"/>
      <c r="AO19" s="694"/>
      <c r="AP19" s="30"/>
      <c r="AQ19" s="30"/>
      <c r="AR19" s="30"/>
      <c r="AS19" s="30"/>
    </row>
    <row r="20" spans="1:45" x14ac:dyDescent="0.25">
      <c r="A20" s="30"/>
      <c r="B20" s="30"/>
      <c r="C20" s="520" t="s">
        <v>758</v>
      </c>
      <c r="D20" s="520"/>
      <c r="E20" s="520"/>
      <c r="F20" s="520"/>
      <c r="G20" s="520"/>
      <c r="H20" s="520"/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  <c r="Y20" s="520"/>
      <c r="Z20" s="520"/>
      <c r="AA20" s="520"/>
      <c r="AB20" s="520"/>
      <c r="AC20" s="520"/>
      <c r="AD20" s="520"/>
      <c r="AE20" s="520"/>
      <c r="AF20" s="520"/>
      <c r="AG20" s="520"/>
      <c r="AH20" s="520"/>
      <c r="AI20" s="520"/>
      <c r="AJ20" s="520"/>
      <c r="AK20" s="520"/>
      <c r="AL20" s="520"/>
      <c r="AM20" s="520"/>
      <c r="AN20" s="699"/>
      <c r="AO20" s="699"/>
      <c r="AP20" s="30"/>
      <c r="AQ20" s="30"/>
      <c r="AR20" s="30"/>
      <c r="AS20" s="30"/>
    </row>
    <row r="21" spans="1:45" x14ac:dyDescent="0.25">
      <c r="A21" s="30"/>
      <c r="B21" s="30"/>
      <c r="C21" s="520" t="s">
        <v>762</v>
      </c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  <c r="AG21" s="520"/>
      <c r="AH21" s="520"/>
      <c r="AI21" s="520"/>
      <c r="AJ21" s="520"/>
      <c r="AK21" s="520"/>
      <c r="AL21" s="520"/>
      <c r="AM21" s="520"/>
      <c r="AN21" s="699"/>
      <c r="AO21" s="699"/>
      <c r="AP21" s="30"/>
      <c r="AQ21" s="30"/>
      <c r="AR21" s="30"/>
      <c r="AS21" s="30"/>
    </row>
    <row r="22" spans="1:45" x14ac:dyDescent="0.25">
      <c r="A22" s="30"/>
      <c r="B22" s="30"/>
      <c r="C22" s="520" t="s">
        <v>757</v>
      </c>
      <c r="D22" s="520"/>
      <c r="E22" s="520"/>
      <c r="F22" s="520"/>
      <c r="G22" s="520"/>
      <c r="H22" s="520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  <c r="Y22" s="520"/>
      <c r="Z22" s="520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0"/>
      <c r="AL22" s="520"/>
      <c r="AM22" s="520"/>
      <c r="AN22" s="699"/>
      <c r="AO22" s="699"/>
      <c r="AP22" s="30"/>
      <c r="AQ22" s="30"/>
      <c r="AR22" s="30"/>
      <c r="AS22" s="30"/>
    </row>
    <row r="23" spans="1:45" x14ac:dyDescent="0.25">
      <c r="A23" s="30"/>
      <c r="B23" s="30"/>
      <c r="C23" s="520" t="s">
        <v>756</v>
      </c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694"/>
      <c r="AO23" s="694"/>
      <c r="AP23" s="30"/>
      <c r="AQ23" s="30"/>
      <c r="AR23" s="30"/>
      <c r="AS23" s="30"/>
    </row>
    <row r="24" spans="1:45" x14ac:dyDescent="0.25">
      <c r="A24" s="30"/>
      <c r="B24" s="30"/>
      <c r="C24" s="520" t="s">
        <v>754</v>
      </c>
      <c r="D24" s="520"/>
      <c r="E24" s="520"/>
      <c r="F24" s="520"/>
      <c r="G24" s="520"/>
      <c r="H24" s="520"/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  <c r="Y24" s="520"/>
      <c r="Z24" s="520"/>
      <c r="AA24" s="520"/>
      <c r="AB24" s="520"/>
      <c r="AC24" s="520"/>
      <c r="AD24" s="520"/>
      <c r="AE24" s="520"/>
      <c r="AF24" s="520"/>
      <c r="AG24" s="520"/>
      <c r="AH24" s="520"/>
      <c r="AI24" s="520"/>
      <c r="AJ24" s="520"/>
      <c r="AK24" s="520"/>
      <c r="AL24" s="520"/>
      <c r="AM24" s="520"/>
      <c r="AN24" s="694"/>
      <c r="AO24" s="694"/>
      <c r="AP24" s="30"/>
      <c r="AQ24" s="30"/>
      <c r="AR24" s="30"/>
      <c r="AS24" s="30"/>
    </row>
    <row r="25" spans="1:45" x14ac:dyDescent="0.25">
      <c r="A25" s="30"/>
      <c r="B25" s="30"/>
      <c r="C25" s="520" t="s">
        <v>747</v>
      </c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520"/>
      <c r="T25" s="520"/>
      <c r="U25" s="520"/>
      <c r="V25" s="520"/>
      <c r="W25" s="520"/>
      <c r="X25" s="520"/>
      <c r="Y25" s="520"/>
      <c r="Z25" s="520"/>
      <c r="AA25" s="520"/>
      <c r="AB25" s="520"/>
      <c r="AC25" s="520"/>
      <c r="AD25" s="520"/>
      <c r="AE25" s="520"/>
      <c r="AF25" s="520"/>
      <c r="AG25" s="520"/>
      <c r="AH25" s="520"/>
      <c r="AI25" s="520"/>
      <c r="AJ25" s="520"/>
      <c r="AK25" s="520"/>
      <c r="AL25" s="520"/>
      <c r="AM25" s="520"/>
      <c r="AN25" s="694"/>
      <c r="AO25" s="694"/>
      <c r="AP25" s="30"/>
      <c r="AQ25" s="30"/>
      <c r="AR25" s="30"/>
      <c r="AS25" s="30"/>
    </row>
    <row r="26" spans="1:45" x14ac:dyDescent="0.25">
      <c r="A26" s="30"/>
      <c r="B26" s="30"/>
      <c r="C26" s="520" t="s">
        <v>753</v>
      </c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520"/>
      <c r="AL26" s="520"/>
      <c r="AM26" s="520"/>
      <c r="AN26" s="699"/>
      <c r="AO26" s="699"/>
      <c r="AP26" s="30"/>
      <c r="AQ26" s="30"/>
      <c r="AR26" s="30"/>
      <c r="AS26" s="30"/>
    </row>
    <row r="27" spans="1:45" x14ac:dyDescent="0.25">
      <c r="A27" s="30"/>
      <c r="B27" s="30"/>
      <c r="C27" s="520" t="s">
        <v>755</v>
      </c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699"/>
      <c r="AO27" s="699"/>
      <c r="AP27" s="30"/>
      <c r="AQ27" s="30"/>
      <c r="AR27" s="30"/>
      <c r="AS27" s="30"/>
    </row>
    <row r="28" spans="1:45" x14ac:dyDescent="0.25">
      <c r="A28" s="30"/>
      <c r="B28" s="30"/>
      <c r="C28" s="521"/>
      <c r="D28" s="521"/>
      <c r="E28" s="521"/>
      <c r="F28" s="521"/>
      <c r="G28" s="521"/>
      <c r="H28" s="521"/>
      <c r="I28" s="521"/>
      <c r="J28" s="521"/>
      <c r="K28" s="521"/>
      <c r="L28" s="521"/>
      <c r="M28" s="521"/>
      <c r="N28" s="521"/>
      <c r="O28" s="521"/>
      <c r="P28" s="521"/>
      <c r="Q28" s="521"/>
      <c r="R28" s="521"/>
      <c r="S28" s="521"/>
      <c r="T28" s="521"/>
      <c r="U28" s="521"/>
      <c r="V28" s="521"/>
      <c r="W28" s="521"/>
      <c r="X28" s="521"/>
      <c r="Y28" s="521"/>
      <c r="Z28" s="521"/>
      <c r="AA28" s="521"/>
      <c r="AB28" s="521"/>
      <c r="AC28" s="521"/>
      <c r="AD28" s="521"/>
      <c r="AE28" s="521"/>
      <c r="AF28" s="521"/>
      <c r="AG28" s="521"/>
      <c r="AH28" s="521"/>
      <c r="AI28" s="521"/>
      <c r="AJ28" s="521"/>
      <c r="AK28" s="521"/>
      <c r="AL28" s="521"/>
      <c r="AM28" s="521"/>
      <c r="AN28" s="699"/>
      <c r="AO28" s="699"/>
      <c r="AP28" s="30"/>
      <c r="AQ28" s="30"/>
      <c r="AR28" s="30"/>
      <c r="AS28" s="30"/>
    </row>
    <row r="29" spans="1:45" ht="12" customHeight="1" x14ac:dyDescent="0.25">
      <c r="A29" s="30"/>
      <c r="B29" s="30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1"/>
      <c r="N29" s="521"/>
      <c r="O29" s="521"/>
      <c r="P29" s="521"/>
      <c r="Q29" s="521"/>
      <c r="R29" s="521"/>
      <c r="S29" s="521"/>
      <c r="T29" s="521"/>
      <c r="U29" s="521"/>
      <c r="V29" s="521"/>
      <c r="W29" s="521"/>
      <c r="X29" s="521"/>
      <c r="Y29" s="521"/>
      <c r="Z29" s="521"/>
      <c r="AA29" s="521"/>
      <c r="AB29" s="521"/>
      <c r="AC29" s="521"/>
      <c r="AD29" s="521"/>
      <c r="AE29" s="521"/>
      <c r="AF29" s="521"/>
      <c r="AG29" s="521"/>
      <c r="AH29" s="521"/>
      <c r="AI29" s="521"/>
      <c r="AJ29" s="521"/>
      <c r="AK29" s="521"/>
      <c r="AL29" s="521"/>
      <c r="AM29" s="521"/>
      <c r="AN29" s="699"/>
      <c r="AO29" s="699"/>
      <c r="AP29" s="30"/>
      <c r="AQ29" s="30"/>
      <c r="AR29" s="30"/>
      <c r="AS29" s="30"/>
    </row>
    <row r="30" spans="1:45" x14ac:dyDescent="0.2">
      <c r="A30" s="30"/>
      <c r="B30" s="30"/>
      <c r="C30" s="133" t="s">
        <v>870</v>
      </c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700"/>
      <c r="AO30" s="700"/>
      <c r="AP30" s="30"/>
      <c r="AQ30" s="30"/>
      <c r="AR30" s="30"/>
      <c r="AS30" s="30"/>
    </row>
    <row r="31" spans="1:45" x14ac:dyDescent="0.25">
      <c r="A31" s="30"/>
      <c r="B31" s="30"/>
      <c r="C31" s="166" t="s">
        <v>869</v>
      </c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699"/>
      <c r="AO31" s="699"/>
      <c r="AP31" s="30"/>
      <c r="AQ31" s="30"/>
      <c r="AR31" s="30"/>
      <c r="AS31" s="30"/>
    </row>
    <row r="32" spans="1:45" x14ac:dyDescent="0.25">
      <c r="A32" s="30"/>
      <c r="B32" s="30"/>
      <c r="C32" s="520" t="s">
        <v>871</v>
      </c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20"/>
      <c r="AL32" s="520"/>
      <c r="AM32" s="520"/>
      <c r="AN32" s="699"/>
      <c r="AO32" s="699"/>
      <c r="AP32" s="30"/>
      <c r="AQ32" s="30"/>
      <c r="AR32" s="30"/>
      <c r="AS32" s="30"/>
    </row>
    <row r="33" spans="1:45" x14ac:dyDescent="0.25">
      <c r="A33" s="30"/>
      <c r="B33" s="30"/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12"/>
      <c r="AO33" s="312"/>
      <c r="AP33" s="30"/>
      <c r="AQ33" s="30"/>
      <c r="AR33" s="30"/>
      <c r="AS33" s="30"/>
    </row>
    <row r="34" spans="1:45" ht="12" customHeight="1" x14ac:dyDescent="0.25">
      <c r="A34" s="30"/>
      <c r="B34" s="30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N34" s="521"/>
      <c r="O34" s="521"/>
      <c r="P34" s="521"/>
      <c r="Q34" s="521"/>
      <c r="R34" s="521"/>
      <c r="S34" s="521"/>
      <c r="T34" s="521"/>
      <c r="U34" s="521"/>
      <c r="V34" s="521"/>
      <c r="W34" s="521"/>
      <c r="X34" s="521"/>
      <c r="Y34" s="521"/>
      <c r="Z34" s="521"/>
      <c r="AA34" s="521"/>
      <c r="AB34" s="521"/>
      <c r="AC34" s="521"/>
      <c r="AD34" s="521"/>
      <c r="AE34" s="521"/>
      <c r="AF34" s="521"/>
      <c r="AG34" s="521"/>
      <c r="AH34" s="521"/>
      <c r="AI34" s="521"/>
      <c r="AJ34" s="521"/>
      <c r="AK34" s="521"/>
      <c r="AL34" s="521"/>
      <c r="AM34" s="521"/>
      <c r="AN34" s="699"/>
      <c r="AO34" s="699"/>
      <c r="AP34" s="30"/>
      <c r="AQ34" s="30"/>
      <c r="AR34" s="30"/>
      <c r="AS34" s="30"/>
    </row>
    <row r="35" spans="1:45" x14ac:dyDescent="0.2">
      <c r="A35" s="30"/>
      <c r="B35" s="30"/>
      <c r="C35" s="519" t="s">
        <v>868</v>
      </c>
      <c r="D35" s="519"/>
      <c r="E35" s="519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519"/>
      <c r="Q35" s="519"/>
      <c r="R35" s="519"/>
      <c r="S35" s="519"/>
      <c r="T35" s="519"/>
      <c r="U35" s="519"/>
      <c r="V35" s="519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519"/>
      <c r="AI35" s="519"/>
      <c r="AJ35" s="519"/>
      <c r="AK35" s="519"/>
      <c r="AL35" s="519"/>
      <c r="AM35" s="519"/>
      <c r="AN35" s="700"/>
      <c r="AO35" s="700"/>
      <c r="AP35" s="30"/>
      <c r="AQ35" s="30"/>
      <c r="AR35" s="30"/>
      <c r="AS35" s="30"/>
    </row>
    <row r="36" spans="1:45" x14ac:dyDescent="0.25">
      <c r="A36" s="30"/>
      <c r="B36" s="30"/>
      <c r="C36" s="520" t="s">
        <v>748</v>
      </c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520"/>
      <c r="AL36" s="520"/>
      <c r="AM36" s="520"/>
      <c r="AN36" s="699"/>
      <c r="AO36" s="699"/>
      <c r="AP36" s="30"/>
      <c r="AQ36" s="30"/>
      <c r="AR36" s="30"/>
      <c r="AS36" s="30"/>
    </row>
    <row r="37" spans="1:45" x14ac:dyDescent="0.25">
      <c r="A37" s="30"/>
      <c r="B37" s="30"/>
      <c r="C37" s="520" t="s">
        <v>749</v>
      </c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520"/>
      <c r="AL37" s="520"/>
      <c r="AM37" s="520"/>
      <c r="AN37" s="699"/>
      <c r="AO37" s="699"/>
      <c r="AP37" s="30"/>
      <c r="AQ37" s="30"/>
      <c r="AR37" s="30"/>
      <c r="AS37" s="30"/>
    </row>
    <row r="38" spans="1:45" x14ac:dyDescent="0.25">
      <c r="A38" s="30"/>
      <c r="B38" s="30"/>
      <c r="C38" s="520" t="s">
        <v>750</v>
      </c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699"/>
      <c r="AO38" s="699"/>
      <c r="AP38" s="30"/>
      <c r="AQ38" s="30"/>
      <c r="AR38" s="30"/>
      <c r="AS38" s="30"/>
    </row>
    <row r="39" spans="1:45" x14ac:dyDescent="0.25">
      <c r="A39" s="30"/>
      <c r="B39" s="30"/>
      <c r="C39" s="520" t="s">
        <v>751</v>
      </c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520"/>
      <c r="AL39" s="520"/>
      <c r="AM39" s="520"/>
      <c r="AN39" s="699"/>
      <c r="AO39" s="699"/>
      <c r="AP39" s="30"/>
      <c r="AQ39" s="30"/>
      <c r="AR39" s="30"/>
      <c r="AS39" s="30"/>
    </row>
    <row r="40" spans="1:45" x14ac:dyDescent="0.25">
      <c r="A40" s="30"/>
      <c r="B40" s="30"/>
      <c r="C40" s="520" t="s">
        <v>752</v>
      </c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699"/>
      <c r="AO40" s="699"/>
      <c r="AP40" s="30"/>
      <c r="AQ40" s="30"/>
      <c r="AR40" s="30"/>
      <c r="AS40" s="30"/>
    </row>
    <row r="41" spans="1:45" x14ac:dyDescent="0.25">
      <c r="A41" s="30"/>
      <c r="B41" s="30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699"/>
      <c r="AO41" s="699"/>
      <c r="AP41" s="30"/>
      <c r="AQ41" s="30"/>
      <c r="AR41" s="30"/>
      <c r="AS41" s="30"/>
    </row>
    <row r="42" spans="1:45" x14ac:dyDescent="0.2">
      <c r="A42" s="30"/>
      <c r="B42" s="30"/>
      <c r="C42" s="120" t="s">
        <v>764</v>
      </c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700"/>
      <c r="AO42" s="700"/>
      <c r="AP42" s="30"/>
      <c r="AQ42" s="30"/>
      <c r="AR42" s="30"/>
      <c r="AS42" s="30"/>
    </row>
    <row r="43" spans="1:45" x14ac:dyDescent="0.25">
      <c r="A43" s="30"/>
      <c r="B43" s="30"/>
      <c r="C43" s="520" t="s">
        <v>765</v>
      </c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699"/>
      <c r="AO43" s="699"/>
      <c r="AP43" s="30"/>
      <c r="AQ43" s="30"/>
      <c r="AR43" s="30"/>
      <c r="AS43" s="30"/>
    </row>
    <row r="44" spans="1:45" x14ac:dyDescent="0.25">
      <c r="AN44" s="694"/>
      <c r="AO44" s="694"/>
    </row>
    <row r="45" spans="1:45" x14ac:dyDescent="0.25">
      <c r="A45" s="30"/>
      <c r="B45" s="30"/>
      <c r="C45" s="519" t="s">
        <v>587</v>
      </c>
      <c r="D45" s="519"/>
      <c r="E45" s="519"/>
      <c r="F45" s="519"/>
      <c r="G45" s="519"/>
      <c r="H45" s="519"/>
      <c r="I45" s="519"/>
      <c r="J45" s="519"/>
      <c r="K45" s="519"/>
      <c r="L45" s="519"/>
      <c r="M45" s="519"/>
      <c r="N45" s="519"/>
      <c r="O45" s="519"/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  <c r="AE45" s="519"/>
      <c r="AF45" s="519"/>
      <c r="AG45" s="519"/>
      <c r="AH45" s="519"/>
      <c r="AI45" s="519"/>
      <c r="AJ45" s="519"/>
      <c r="AK45" s="519"/>
      <c r="AL45" s="519"/>
      <c r="AM45" s="519"/>
      <c r="AN45" s="687"/>
      <c r="AO45" s="687"/>
      <c r="AP45" s="30"/>
      <c r="AQ45" s="30"/>
      <c r="AR45" s="30"/>
      <c r="AS45" s="30"/>
    </row>
    <row r="46" spans="1:45" x14ac:dyDescent="0.25">
      <c r="A46" s="30"/>
      <c r="B46" s="30"/>
      <c r="C46" s="520" t="s">
        <v>593</v>
      </c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694"/>
      <c r="AO46" s="694"/>
      <c r="AP46" s="30"/>
      <c r="AQ46" s="30"/>
      <c r="AR46" s="30"/>
      <c r="AS46" s="30"/>
    </row>
    <row r="47" spans="1:45" x14ac:dyDescent="0.25">
      <c r="A47" s="30"/>
      <c r="B47" s="30"/>
      <c r="C47" s="520" t="s">
        <v>588</v>
      </c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699"/>
      <c r="AO47" s="699"/>
      <c r="AP47" s="30"/>
      <c r="AQ47" s="30"/>
      <c r="AR47" s="30"/>
      <c r="AS47" s="30"/>
    </row>
    <row r="48" spans="1:45" x14ac:dyDescent="0.25">
      <c r="A48" s="30"/>
      <c r="B48" s="30"/>
      <c r="C48" s="520" t="s">
        <v>589</v>
      </c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699"/>
      <c r="AO48" s="699"/>
      <c r="AP48" s="30"/>
      <c r="AQ48" s="30"/>
      <c r="AR48" s="30"/>
      <c r="AS48" s="30"/>
    </row>
    <row r="49" spans="1:45" x14ac:dyDescent="0.25">
      <c r="C49" s="520" t="s">
        <v>590</v>
      </c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694"/>
      <c r="AO49" s="694"/>
    </row>
    <row r="50" spans="1:45" x14ac:dyDescent="0.25">
      <c r="A50" s="30"/>
      <c r="B50" s="30"/>
      <c r="AN50" s="694"/>
      <c r="AO50" s="694"/>
      <c r="AP50" s="30"/>
      <c r="AQ50" s="30"/>
      <c r="AR50" s="30"/>
      <c r="AS50" s="30"/>
    </row>
    <row r="51" spans="1:45" x14ac:dyDescent="0.25">
      <c r="A51" s="30"/>
      <c r="B51" s="30"/>
      <c r="C51" s="73" t="s">
        <v>591</v>
      </c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87"/>
      <c r="AO51" s="687"/>
      <c r="AP51" s="30"/>
      <c r="AQ51" s="30"/>
      <c r="AR51" s="30"/>
      <c r="AS51" s="30"/>
    </row>
    <row r="52" spans="1:45" x14ac:dyDescent="0.25">
      <c r="A52" s="30"/>
      <c r="B52" s="30"/>
      <c r="C52" s="520" t="s">
        <v>1927</v>
      </c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702"/>
      <c r="AO52" s="702"/>
      <c r="AP52" s="30"/>
      <c r="AQ52" s="30"/>
      <c r="AR52" s="30"/>
      <c r="AS52" s="30"/>
    </row>
    <row r="53" spans="1:45" x14ac:dyDescent="0.25">
      <c r="A53" s="30"/>
      <c r="B53" s="30"/>
      <c r="C53" s="520" t="s">
        <v>1928</v>
      </c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0"/>
      <c r="AL53" s="520"/>
      <c r="AM53" s="520"/>
      <c r="AN53" s="694"/>
      <c r="AO53" s="694"/>
      <c r="AP53" s="30"/>
      <c r="AQ53" s="30"/>
      <c r="AR53" s="30"/>
      <c r="AS53" s="30"/>
    </row>
    <row r="54" spans="1:45" x14ac:dyDescent="0.25">
      <c r="A54" s="30"/>
      <c r="B54" s="30"/>
      <c r="C54" s="520" t="s">
        <v>684</v>
      </c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520"/>
      <c r="AL54" s="520"/>
      <c r="AM54" s="520"/>
      <c r="AN54" s="694"/>
      <c r="AO54" s="694"/>
      <c r="AP54" s="30"/>
      <c r="AQ54" s="30"/>
      <c r="AR54" s="30"/>
      <c r="AS54" s="30"/>
    </row>
    <row r="55" spans="1:45" x14ac:dyDescent="0.25">
      <c r="A55" s="30"/>
      <c r="B55" s="30"/>
      <c r="C55" s="520" t="s">
        <v>683</v>
      </c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520"/>
      <c r="AL55" s="520"/>
      <c r="AM55" s="520"/>
      <c r="AN55" s="694"/>
      <c r="AO55" s="694"/>
      <c r="AP55" s="30"/>
      <c r="AQ55" s="30"/>
      <c r="AR55" s="30"/>
      <c r="AS55" s="30"/>
    </row>
    <row r="56" spans="1:45" x14ac:dyDescent="0.25">
      <c r="A56" s="30"/>
      <c r="B56" s="30"/>
      <c r="C56" s="520" t="s">
        <v>682</v>
      </c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520"/>
      <c r="AL56" s="520"/>
      <c r="AM56" s="520"/>
      <c r="AN56" s="694"/>
      <c r="AO56" s="694"/>
      <c r="AP56" s="30"/>
      <c r="AQ56" s="30"/>
      <c r="AR56" s="30"/>
      <c r="AS56" s="30"/>
    </row>
    <row r="57" spans="1:45" x14ac:dyDescent="0.25">
      <c r="A57" s="30"/>
      <c r="B57" s="30"/>
      <c r="C57" s="520" t="s">
        <v>685</v>
      </c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694"/>
      <c r="AO57" s="694"/>
      <c r="AP57" s="30"/>
      <c r="AQ57" s="30"/>
      <c r="AR57" s="30"/>
      <c r="AS57" s="30"/>
    </row>
    <row r="58" spans="1:45" x14ac:dyDescent="0.25">
      <c r="A58" s="30"/>
      <c r="B58" s="30"/>
      <c r="AN58" s="694"/>
      <c r="AO58" s="694"/>
      <c r="AP58" s="30"/>
      <c r="AQ58" s="30"/>
      <c r="AR58" s="30"/>
      <c r="AS58" s="30"/>
    </row>
    <row r="59" spans="1:45" x14ac:dyDescent="0.25">
      <c r="C59" s="672" t="s">
        <v>594</v>
      </c>
      <c r="D59" s="672"/>
      <c r="E59" s="672"/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72"/>
      <c r="AG59" s="672"/>
      <c r="AH59" s="672"/>
      <c r="AI59" s="672"/>
      <c r="AJ59" s="672"/>
      <c r="AK59" s="672"/>
      <c r="AL59" s="672"/>
      <c r="AM59" s="672"/>
      <c r="AN59" s="687"/>
      <c r="AO59" s="687"/>
    </row>
    <row r="60" spans="1:45" x14ac:dyDescent="0.25">
      <c r="C60" s="520" t="s">
        <v>595</v>
      </c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0"/>
      <c r="AD60" s="520"/>
      <c r="AE60" s="520"/>
      <c r="AF60" s="520"/>
      <c r="AG60" s="520"/>
      <c r="AH60" s="520"/>
      <c r="AI60" s="520"/>
      <c r="AJ60" s="520"/>
      <c r="AK60" s="520"/>
      <c r="AL60" s="520"/>
      <c r="AM60" s="520"/>
      <c r="AN60" s="694"/>
      <c r="AO60" s="694"/>
    </row>
    <row r="61" spans="1:45" x14ac:dyDescent="0.25">
      <c r="C61" s="520" t="s">
        <v>596</v>
      </c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520"/>
      <c r="AL61" s="520"/>
      <c r="AM61" s="520"/>
      <c r="AN61" s="694"/>
      <c r="AO61" s="694"/>
    </row>
    <row r="62" spans="1:45" x14ac:dyDescent="0.25">
      <c r="C62" s="520" t="s">
        <v>597</v>
      </c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520"/>
      <c r="AL62" s="520"/>
      <c r="AM62" s="520"/>
      <c r="AN62" s="694"/>
      <c r="AO62" s="694"/>
    </row>
    <row r="63" spans="1:45" x14ac:dyDescent="0.25">
      <c r="C63" s="517" t="s">
        <v>650</v>
      </c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694"/>
      <c r="AO63" s="694"/>
    </row>
    <row r="64" spans="1:45" x14ac:dyDescent="0.25"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694"/>
      <c r="AO64" s="694"/>
    </row>
    <row r="65" spans="1:45" x14ac:dyDescent="0.25">
      <c r="C65" s="74" t="s">
        <v>598</v>
      </c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687"/>
      <c r="AO65" s="687"/>
    </row>
    <row r="66" spans="1:45" x14ac:dyDescent="0.25">
      <c r="C66" s="517" t="s">
        <v>599</v>
      </c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  <c r="AE66" s="517"/>
      <c r="AF66" s="517"/>
      <c r="AG66" s="517"/>
      <c r="AH66" s="517"/>
      <c r="AI66" s="517"/>
      <c r="AJ66" s="517"/>
      <c r="AK66" s="517"/>
      <c r="AL66" s="517"/>
      <c r="AM66" s="517"/>
      <c r="AN66" s="694"/>
      <c r="AO66" s="694"/>
    </row>
    <row r="67" spans="1:45" x14ac:dyDescent="0.25">
      <c r="C67" s="517" t="s">
        <v>600</v>
      </c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694"/>
      <c r="AO67" s="694"/>
    </row>
    <row r="68" spans="1:45" x14ac:dyDescent="0.25">
      <c r="C68" s="517" t="s">
        <v>601</v>
      </c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694"/>
      <c r="AO68" s="694"/>
    </row>
    <row r="69" spans="1:45" x14ac:dyDescent="0.25"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694"/>
      <c r="AO69" s="694"/>
    </row>
    <row r="70" spans="1:45" x14ac:dyDescent="0.25">
      <c r="C70" s="168" t="s">
        <v>652</v>
      </c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687"/>
      <c r="AO70" s="687"/>
    </row>
    <row r="71" spans="1:45" ht="15.75" x14ac:dyDescent="0.25">
      <c r="C71" s="3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695"/>
      <c r="AO71" s="695"/>
    </row>
    <row r="72" spans="1:45" ht="15.75" x14ac:dyDescent="0.25">
      <c r="A72" s="56"/>
      <c r="B72" s="42"/>
      <c r="C72" s="168" t="s">
        <v>651</v>
      </c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687"/>
      <c r="AO72" s="687"/>
      <c r="AP72" s="56"/>
      <c r="AQ72" s="56"/>
      <c r="AR72" s="56"/>
      <c r="AS72" s="56"/>
    </row>
    <row r="73" spans="1:45" x14ac:dyDescent="0.25"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</row>
    <row r="74" spans="1:45" x14ac:dyDescent="0.25"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</row>
    <row r="75" spans="1:45" x14ac:dyDescent="0.25"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72"/>
    </row>
    <row r="76" spans="1:45" ht="30.75" customHeight="1" x14ac:dyDescent="0.2">
      <c r="A76" s="105"/>
      <c r="B76" s="105"/>
      <c r="C76" s="78" t="s">
        <v>189</v>
      </c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7"/>
      <c r="AO76" s="107"/>
      <c r="AP76" s="107"/>
      <c r="AQ76" s="107"/>
      <c r="AR76" s="107"/>
      <c r="AS76" s="107"/>
    </row>
    <row r="77" spans="1:45" x14ac:dyDescent="0.25"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</row>
    <row r="78" spans="1:45" s="254" customFormat="1" ht="15.75" x14ac:dyDescent="0.25">
      <c r="A78" s="24"/>
      <c r="B78" s="24"/>
      <c r="C78" s="41" t="s">
        <v>885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</row>
    <row r="79" spans="1:45" s="19" customFormat="1" x14ac:dyDescent="0.25">
      <c r="A79" s="7"/>
      <c r="B79" s="170"/>
      <c r="C79" s="454" t="s">
        <v>80</v>
      </c>
      <c r="D79" s="454"/>
      <c r="E79" s="454"/>
      <c r="F79" s="454"/>
      <c r="G79" s="454"/>
      <c r="H79" s="454"/>
      <c r="I79" s="454"/>
      <c r="J79" s="454"/>
      <c r="K79" s="454"/>
      <c r="L79" s="454"/>
      <c r="M79" s="454" t="s">
        <v>161</v>
      </c>
      <c r="N79" s="454"/>
      <c r="O79" s="454"/>
      <c r="P79" s="454"/>
      <c r="Q79" s="454"/>
      <c r="R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4"/>
      <c r="AC79" s="454"/>
      <c r="AD79" s="454"/>
      <c r="AE79" s="454"/>
      <c r="AF79" s="454"/>
      <c r="AG79" s="454"/>
      <c r="AH79" s="346" t="s">
        <v>907</v>
      </c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  <c r="AS79" s="346"/>
    </row>
    <row r="80" spans="1:45" s="19" customFormat="1" ht="44.25" customHeight="1" x14ac:dyDescent="0.25">
      <c r="A80" s="7"/>
      <c r="B80" s="219"/>
      <c r="C80" s="454"/>
      <c r="D80" s="454"/>
      <c r="E80" s="454"/>
      <c r="F80" s="454"/>
      <c r="G80" s="454"/>
      <c r="H80" s="454"/>
      <c r="I80" s="454"/>
      <c r="J80" s="454"/>
      <c r="K80" s="454"/>
      <c r="L80" s="454"/>
      <c r="M80" s="454"/>
      <c r="N80" s="454"/>
      <c r="O80" s="454"/>
      <c r="P80" s="454"/>
      <c r="Q80" s="454"/>
      <c r="R80" s="454"/>
      <c r="S80" s="454"/>
      <c r="T80" s="454"/>
      <c r="U80" s="454"/>
      <c r="V80" s="454"/>
      <c r="W80" s="454"/>
      <c r="X80" s="454"/>
      <c r="Y80" s="454"/>
      <c r="Z80" s="454"/>
      <c r="AA80" s="454"/>
      <c r="AB80" s="454"/>
      <c r="AC80" s="454"/>
      <c r="AD80" s="454"/>
      <c r="AE80" s="454"/>
      <c r="AF80" s="454"/>
      <c r="AG80" s="454"/>
      <c r="AH80" s="546" t="s">
        <v>883</v>
      </c>
      <c r="AI80" s="546"/>
      <c r="AJ80" s="546"/>
      <c r="AK80" s="546"/>
      <c r="AL80" s="546"/>
      <c r="AM80" s="546"/>
      <c r="AN80" s="546" t="s">
        <v>1931</v>
      </c>
      <c r="AO80" s="346"/>
      <c r="AP80" s="346"/>
      <c r="AQ80" s="346"/>
      <c r="AR80" s="346"/>
      <c r="AS80" s="346"/>
    </row>
    <row r="81" spans="1:45" s="19" customFormat="1" x14ac:dyDescent="0.25">
      <c r="A81" s="7"/>
      <c r="B81" s="170"/>
      <c r="C81" s="681" t="s">
        <v>177</v>
      </c>
      <c r="D81" s="681"/>
      <c r="E81" s="681"/>
      <c r="F81" s="681"/>
      <c r="G81" s="681"/>
      <c r="H81" s="681"/>
      <c r="I81" s="681"/>
      <c r="J81" s="681"/>
      <c r="K81" s="681"/>
      <c r="L81" s="681"/>
      <c r="M81" s="681" t="s">
        <v>178</v>
      </c>
      <c r="N81" s="681"/>
      <c r="O81" s="681"/>
      <c r="P81" s="681"/>
      <c r="Q81" s="681"/>
      <c r="R81" s="681"/>
      <c r="S81" s="681"/>
      <c r="T81" s="681"/>
      <c r="U81" s="681"/>
      <c r="V81" s="681"/>
      <c r="W81" s="681"/>
      <c r="X81" s="681"/>
      <c r="Y81" s="681"/>
      <c r="Z81" s="681"/>
      <c r="AA81" s="681"/>
      <c r="AB81" s="681"/>
      <c r="AC81" s="681"/>
      <c r="AD81" s="681"/>
      <c r="AE81" s="681"/>
      <c r="AF81" s="681"/>
      <c r="AG81" s="681"/>
      <c r="AH81" s="679">
        <f>VLOOKUP("УТ-00096712",'Выгрузка из 1С'!$B$3:$K$1988,10,FALSE)</f>
        <v>27360</v>
      </c>
      <c r="AI81" s="680"/>
      <c r="AJ81" s="680"/>
      <c r="AK81" s="680"/>
      <c r="AL81" s="680"/>
      <c r="AM81" s="680"/>
      <c r="AN81" s="679">
        <f>VLOOKUP("УТ-00096707",'Выгрузка из 1С'!$B$3:$K$1988,10,FALSE)</f>
        <v>27960</v>
      </c>
      <c r="AO81" s="680"/>
      <c r="AP81" s="680"/>
      <c r="AQ81" s="680"/>
      <c r="AR81" s="680"/>
      <c r="AS81" s="680"/>
    </row>
    <row r="82" spans="1:45" s="19" customFormat="1" x14ac:dyDescent="0.25">
      <c r="A82" s="7"/>
      <c r="B82" s="219"/>
      <c r="C82" s="681" t="s">
        <v>884</v>
      </c>
      <c r="D82" s="681"/>
      <c r="E82" s="681"/>
      <c r="F82" s="681"/>
      <c r="G82" s="681"/>
      <c r="H82" s="681"/>
      <c r="I82" s="681"/>
      <c r="J82" s="681"/>
      <c r="K82" s="681"/>
      <c r="L82" s="681"/>
      <c r="M82" s="681" t="s">
        <v>183</v>
      </c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81"/>
      <c r="Y82" s="681"/>
      <c r="Z82" s="681"/>
      <c r="AA82" s="681"/>
      <c r="AB82" s="681"/>
      <c r="AC82" s="681"/>
      <c r="AD82" s="681"/>
      <c r="AE82" s="681"/>
      <c r="AF82" s="681"/>
      <c r="AG82" s="681"/>
      <c r="AH82" s="679">
        <f>VLOOKUP("УТ-00113792",'Выгрузка из 1С'!$B$4:$K$1989,10,FALSE)</f>
        <v>25440</v>
      </c>
      <c r="AI82" s="680"/>
      <c r="AJ82" s="680"/>
      <c r="AK82" s="680"/>
      <c r="AL82" s="680"/>
      <c r="AM82" s="680"/>
      <c r="AN82" s="679">
        <f>VLOOKUP("УТ-00113791",'Выгрузка из 1С'!$B$4:$K$1989,10,FALSE)</f>
        <v>25920</v>
      </c>
      <c r="AO82" s="680"/>
      <c r="AP82" s="680"/>
      <c r="AQ82" s="680"/>
      <c r="AR82" s="680"/>
      <c r="AS82" s="680"/>
    </row>
    <row r="83" spans="1:45" s="19" customFormat="1" x14ac:dyDescent="0.25">
      <c r="A83" s="7"/>
      <c r="B83" s="170"/>
      <c r="C83" s="681" t="s">
        <v>179</v>
      </c>
      <c r="D83" s="681"/>
      <c r="E83" s="681"/>
      <c r="F83" s="681"/>
      <c r="G83" s="681"/>
      <c r="H83" s="681"/>
      <c r="I83" s="681"/>
      <c r="J83" s="681"/>
      <c r="K83" s="681"/>
      <c r="L83" s="681"/>
      <c r="M83" s="681" t="s">
        <v>183</v>
      </c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81"/>
      <c r="Y83" s="681"/>
      <c r="Z83" s="681"/>
      <c r="AA83" s="681"/>
      <c r="AB83" s="681"/>
      <c r="AC83" s="681"/>
      <c r="AD83" s="681"/>
      <c r="AE83" s="681"/>
      <c r="AF83" s="681"/>
      <c r="AG83" s="681"/>
      <c r="AH83" s="679">
        <f>VLOOKUP("УТ-00096710",'Выгрузка из 1С'!$B$4:$K$1989,10,FALSE)</f>
        <v>30480</v>
      </c>
      <c r="AI83" s="680"/>
      <c r="AJ83" s="680"/>
      <c r="AK83" s="680"/>
      <c r="AL83" s="680"/>
      <c r="AM83" s="680"/>
      <c r="AN83" s="679">
        <f>VLOOKUP("УТ-00096710",'Выгрузка из 1С'!$B$4:$K$1989,10,FALSE)</f>
        <v>30480</v>
      </c>
      <c r="AO83" s="680"/>
      <c r="AP83" s="680"/>
      <c r="AQ83" s="680"/>
      <c r="AR83" s="680"/>
      <c r="AS83" s="680"/>
    </row>
    <row r="84" spans="1:45" s="19" customFormat="1" x14ac:dyDescent="0.25">
      <c r="A84" s="198"/>
      <c r="B84" s="170"/>
      <c r="C84" s="681" t="s">
        <v>180</v>
      </c>
      <c r="D84" s="681"/>
      <c r="E84" s="681"/>
      <c r="F84" s="681"/>
      <c r="G84" s="681"/>
      <c r="H84" s="681"/>
      <c r="I84" s="681"/>
      <c r="J84" s="681"/>
      <c r="K84" s="681"/>
      <c r="L84" s="681"/>
      <c r="M84" s="681" t="s">
        <v>184</v>
      </c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81"/>
      <c r="Y84" s="681"/>
      <c r="Z84" s="681"/>
      <c r="AA84" s="681"/>
      <c r="AB84" s="681"/>
      <c r="AC84" s="681"/>
      <c r="AD84" s="681"/>
      <c r="AE84" s="681"/>
      <c r="AF84" s="681"/>
      <c r="AG84" s="681"/>
      <c r="AH84" s="679">
        <f>VLOOKUP("УТ-00096713",'Выгрузка из 1С'!$B$4:$K$1989,10,FALSE)</f>
        <v>33240</v>
      </c>
      <c r="AI84" s="680"/>
      <c r="AJ84" s="680"/>
      <c r="AK84" s="680"/>
      <c r="AL84" s="680"/>
      <c r="AM84" s="680"/>
      <c r="AN84" s="679">
        <f>VLOOKUP("УТ-00096708",'Выгрузка из 1С'!$B$4:$K$1989,10,FALSE)</f>
        <v>33720</v>
      </c>
      <c r="AO84" s="680"/>
      <c r="AP84" s="680"/>
      <c r="AQ84" s="680"/>
      <c r="AR84" s="680"/>
      <c r="AS84" s="680"/>
    </row>
    <row r="85" spans="1:45" s="19" customFormat="1" x14ac:dyDescent="0.25">
      <c r="A85" s="7"/>
      <c r="B85" s="170"/>
      <c r="C85" s="681" t="s">
        <v>181</v>
      </c>
      <c r="D85" s="681"/>
      <c r="E85" s="681"/>
      <c r="F85" s="681"/>
      <c r="G85" s="681"/>
      <c r="H85" s="681"/>
      <c r="I85" s="681"/>
      <c r="J85" s="681"/>
      <c r="K85" s="681"/>
      <c r="L85" s="681"/>
      <c r="M85" s="681" t="s">
        <v>185</v>
      </c>
      <c r="N85" s="681"/>
      <c r="O85" s="681"/>
      <c r="P85" s="681"/>
      <c r="Q85" s="681"/>
      <c r="R85" s="681"/>
      <c r="S85" s="681"/>
      <c r="T85" s="681"/>
      <c r="U85" s="681"/>
      <c r="V85" s="681"/>
      <c r="W85" s="681"/>
      <c r="X85" s="681"/>
      <c r="Y85" s="681"/>
      <c r="Z85" s="681"/>
      <c r="AA85" s="681"/>
      <c r="AB85" s="681"/>
      <c r="AC85" s="681"/>
      <c r="AD85" s="681"/>
      <c r="AE85" s="681"/>
      <c r="AF85" s="681"/>
      <c r="AG85" s="681"/>
      <c r="AH85" s="679">
        <f>VLOOKUP("УТ-00096714",'Выгрузка из 1С'!$B$4:$K$1989,10,FALSE)</f>
        <v>38880</v>
      </c>
      <c r="AI85" s="680"/>
      <c r="AJ85" s="680"/>
      <c r="AK85" s="680"/>
      <c r="AL85" s="680"/>
      <c r="AM85" s="680"/>
      <c r="AN85" s="679">
        <f>VLOOKUP("УТ-00096709",'Выгрузка из 1С'!$B$4:$K$1989,10,FALSE)</f>
        <v>39360</v>
      </c>
      <c r="AO85" s="680"/>
      <c r="AP85" s="680"/>
      <c r="AQ85" s="680"/>
      <c r="AR85" s="680"/>
      <c r="AS85" s="680"/>
    </row>
    <row r="86" spans="1:45" s="19" customFormat="1" x14ac:dyDescent="0.25">
      <c r="A86" s="7"/>
      <c r="B86" s="170"/>
      <c r="C86" s="681" t="s">
        <v>182</v>
      </c>
      <c r="D86" s="681"/>
      <c r="E86" s="681"/>
      <c r="F86" s="681"/>
      <c r="G86" s="681"/>
      <c r="H86" s="681"/>
      <c r="I86" s="681"/>
      <c r="J86" s="681"/>
      <c r="K86" s="681"/>
      <c r="L86" s="681"/>
      <c r="M86" s="681" t="s">
        <v>186</v>
      </c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81"/>
      <c r="Y86" s="681"/>
      <c r="Z86" s="681"/>
      <c r="AA86" s="681"/>
      <c r="AB86" s="681"/>
      <c r="AC86" s="681"/>
      <c r="AD86" s="681"/>
      <c r="AE86" s="681"/>
      <c r="AF86" s="681"/>
      <c r="AG86" s="681"/>
      <c r="AH86" s="679">
        <f>VLOOKUP("УТ-00096716",'Выгрузка из 1С'!$B$4:$K$1989,10,FALSE)</f>
        <v>46800</v>
      </c>
      <c r="AI86" s="680"/>
      <c r="AJ86" s="680"/>
      <c r="AK86" s="680"/>
      <c r="AL86" s="680"/>
      <c r="AM86" s="680"/>
      <c r="AN86" s="679">
        <f>VLOOKUP("УТ-00113791",'Выгрузка из 1С'!$B$4:$K$1989,10,FALSE)</f>
        <v>25920</v>
      </c>
      <c r="AO86" s="680"/>
      <c r="AP86" s="680"/>
      <c r="AQ86" s="680"/>
      <c r="AR86" s="680"/>
      <c r="AS86" s="680"/>
    </row>
    <row r="87" spans="1:45" s="19" customFormat="1" ht="23.25" customHeight="1" x14ac:dyDescent="0.25">
      <c r="A87" s="7"/>
      <c r="B87" s="170"/>
      <c r="C87" s="683" t="s">
        <v>190</v>
      </c>
      <c r="D87" s="683"/>
      <c r="E87" s="683"/>
      <c r="F87" s="683"/>
      <c r="G87" s="683"/>
      <c r="H87" s="683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3"/>
      <c r="Y87" s="683"/>
      <c r="Z87" s="683"/>
      <c r="AA87" s="683"/>
      <c r="AB87" s="683"/>
      <c r="AC87" s="683"/>
      <c r="AD87" s="683"/>
      <c r="AE87" s="683"/>
      <c r="AF87" s="683"/>
      <c r="AG87" s="683"/>
      <c r="AH87" s="683"/>
      <c r="AI87" s="683"/>
      <c r="AJ87" s="683"/>
      <c r="AK87" s="683"/>
      <c r="AL87" s="683"/>
      <c r="AM87" s="683"/>
      <c r="AN87" s="683"/>
      <c r="AO87" s="683"/>
      <c r="AP87" s="683"/>
      <c r="AQ87" s="683"/>
      <c r="AR87" s="683"/>
      <c r="AS87" s="683"/>
    </row>
    <row r="88" spans="1:45" s="19" customFormat="1" ht="13.5" customHeight="1" x14ac:dyDescent="0.25">
      <c r="A88" s="7"/>
      <c r="B88" s="170"/>
      <c r="C88" s="182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</row>
    <row r="89" spans="1:45" s="23" customFormat="1" x14ac:dyDescent="0.25">
      <c r="A89" s="7"/>
      <c r="B89" s="170"/>
      <c r="C89" s="676" t="s">
        <v>171</v>
      </c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/>
      <c r="AM89" s="677"/>
      <c r="AN89" s="677"/>
      <c r="AO89" s="677"/>
      <c r="AP89" s="677"/>
      <c r="AQ89" s="677"/>
      <c r="AR89" s="677"/>
      <c r="AS89" s="678"/>
    </row>
    <row r="90" spans="1:45" s="19" customFormat="1" x14ac:dyDescent="0.25">
      <c r="A90" s="198"/>
      <c r="B90" s="170"/>
      <c r="C90" s="375" t="s">
        <v>80</v>
      </c>
      <c r="D90" s="375"/>
      <c r="E90" s="375"/>
      <c r="F90" s="375"/>
      <c r="G90" s="375"/>
      <c r="H90" s="375"/>
      <c r="I90" s="375"/>
      <c r="J90" s="375"/>
      <c r="K90" s="375"/>
      <c r="L90" s="375"/>
      <c r="M90" s="375" t="s">
        <v>161</v>
      </c>
      <c r="N90" s="375"/>
      <c r="O90" s="375"/>
      <c r="P90" s="375"/>
      <c r="Q90" s="375"/>
      <c r="R90" s="375"/>
      <c r="S90" s="375"/>
      <c r="T90" s="375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462" t="s">
        <v>907</v>
      </c>
      <c r="AO90" s="462"/>
      <c r="AP90" s="462"/>
      <c r="AQ90" s="462"/>
      <c r="AR90" s="462"/>
      <c r="AS90" s="462"/>
    </row>
    <row r="91" spans="1:45" s="19" customFormat="1" x14ac:dyDescent="0.25">
      <c r="A91" s="7"/>
      <c r="B91" s="170"/>
      <c r="C91" s="368" t="s">
        <v>891</v>
      </c>
      <c r="D91" s="368"/>
      <c r="E91" s="368"/>
      <c r="F91" s="368"/>
      <c r="G91" s="368"/>
      <c r="H91" s="368"/>
      <c r="I91" s="368"/>
      <c r="J91" s="368"/>
      <c r="K91" s="368"/>
      <c r="L91" s="368"/>
      <c r="M91" s="368" t="s">
        <v>905</v>
      </c>
      <c r="N91" s="368"/>
      <c r="O91" s="368"/>
      <c r="P91" s="368"/>
      <c r="Q91" s="368"/>
      <c r="R91" s="368"/>
      <c r="S91" s="368"/>
      <c r="T91" s="368"/>
      <c r="U91" s="368"/>
      <c r="V91" s="368"/>
      <c r="W91" s="368"/>
      <c r="X91" s="368"/>
      <c r="Y91" s="368"/>
      <c r="Z91" s="368"/>
      <c r="AA91" s="368"/>
      <c r="AB91" s="368"/>
      <c r="AC91" s="368"/>
      <c r="AD91" s="368"/>
      <c r="AE91" s="368"/>
      <c r="AF91" s="368"/>
      <c r="AG91" s="368"/>
      <c r="AH91" s="368"/>
      <c r="AI91" s="368"/>
      <c r="AJ91" s="368"/>
      <c r="AK91" s="368"/>
      <c r="AL91" s="368"/>
      <c r="AM91" s="368"/>
      <c r="AN91" s="679">
        <f>VLOOKUP("УТ-00096842",'Выгрузка из 1С'!$B$4:$K$1989,10,FALSE)</f>
        <v>1440</v>
      </c>
      <c r="AO91" s="680"/>
      <c r="AP91" s="680"/>
      <c r="AQ91" s="680"/>
      <c r="AR91" s="680"/>
      <c r="AS91" s="680"/>
    </row>
    <row r="92" spans="1:45" s="19" customFormat="1" ht="15" customHeight="1" x14ac:dyDescent="0.25">
      <c r="A92" s="7"/>
      <c r="B92" s="170"/>
      <c r="C92" s="368" t="s">
        <v>169</v>
      </c>
      <c r="D92" s="368"/>
      <c r="E92" s="368"/>
      <c r="F92" s="368"/>
      <c r="G92" s="368"/>
      <c r="H92" s="368"/>
      <c r="I92" s="368"/>
      <c r="J92" s="368"/>
      <c r="K92" s="368"/>
      <c r="L92" s="368"/>
      <c r="M92" s="368" t="s">
        <v>187</v>
      </c>
      <c r="N92" s="368"/>
      <c r="O92" s="368"/>
      <c r="P92" s="368"/>
      <c r="Q92" s="368"/>
      <c r="R92" s="368"/>
      <c r="S92" s="368"/>
      <c r="T92" s="368"/>
      <c r="U92" s="368"/>
      <c r="V92" s="368"/>
      <c r="W92" s="368"/>
      <c r="X92" s="368"/>
      <c r="Y92" s="368"/>
      <c r="Z92" s="368"/>
      <c r="AA92" s="368"/>
      <c r="AB92" s="368"/>
      <c r="AC92" s="368"/>
      <c r="AD92" s="368"/>
      <c r="AE92" s="368"/>
      <c r="AF92" s="368"/>
      <c r="AG92" s="368"/>
      <c r="AH92" s="368"/>
      <c r="AI92" s="368"/>
      <c r="AJ92" s="368"/>
      <c r="AK92" s="368"/>
      <c r="AL92" s="368"/>
      <c r="AM92" s="368"/>
      <c r="AN92" s="679">
        <f>VLOOKUP("УТ-00096753",'Выгрузка из 1С'!$B$4:$K$1989,10,FALSE)</f>
        <v>6840</v>
      </c>
      <c r="AO92" s="680"/>
      <c r="AP92" s="680"/>
      <c r="AQ92" s="680"/>
      <c r="AR92" s="680"/>
      <c r="AS92" s="680"/>
    </row>
    <row r="93" spans="1:45" s="19" customFormat="1" ht="15" customHeight="1" x14ac:dyDescent="0.25">
      <c r="A93" s="7"/>
      <c r="B93" s="170"/>
      <c r="C93" s="368" t="s">
        <v>170</v>
      </c>
      <c r="D93" s="368"/>
      <c r="E93" s="368"/>
      <c r="F93" s="368"/>
      <c r="G93" s="368"/>
      <c r="H93" s="368"/>
      <c r="I93" s="368"/>
      <c r="J93" s="368"/>
      <c r="K93" s="368"/>
      <c r="L93" s="368"/>
      <c r="M93" s="368" t="s">
        <v>187</v>
      </c>
      <c r="N93" s="368"/>
      <c r="O93" s="368"/>
      <c r="P93" s="368"/>
      <c r="Q93" s="368"/>
      <c r="R93" s="368"/>
      <c r="S93" s="368"/>
      <c r="T93" s="368"/>
      <c r="U93" s="368"/>
      <c r="V93" s="368"/>
      <c r="W93" s="368"/>
      <c r="X93" s="368"/>
      <c r="Y93" s="368"/>
      <c r="Z93" s="368"/>
      <c r="AA93" s="368"/>
      <c r="AB93" s="368"/>
      <c r="AC93" s="368"/>
      <c r="AD93" s="368"/>
      <c r="AE93" s="368"/>
      <c r="AF93" s="368"/>
      <c r="AG93" s="368"/>
      <c r="AH93" s="368"/>
      <c r="AI93" s="368"/>
      <c r="AJ93" s="368"/>
      <c r="AK93" s="368"/>
      <c r="AL93" s="368"/>
      <c r="AM93" s="368"/>
      <c r="AN93" s="679">
        <f>VLOOKUP("УТ-00096754",'Выгрузка из 1С'!$B$4:$K$1989,10,FALSE)</f>
        <v>5760</v>
      </c>
      <c r="AO93" s="680"/>
      <c r="AP93" s="680"/>
      <c r="AQ93" s="680"/>
      <c r="AR93" s="680"/>
      <c r="AS93" s="680"/>
    </row>
    <row r="94" spans="1:45" s="19" customFormat="1" ht="12" customHeight="1" x14ac:dyDescent="0.25">
      <c r="A94" s="170"/>
      <c r="B94" s="17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</row>
    <row r="95" spans="1:45" s="25" customFormat="1" ht="15.75" x14ac:dyDescent="0.25">
      <c r="A95" s="24"/>
      <c r="B95" s="24"/>
      <c r="C95" s="49" t="s">
        <v>212</v>
      </c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</row>
    <row r="96" spans="1:45" s="180" customFormat="1" x14ac:dyDescent="0.25">
      <c r="A96" s="255"/>
      <c r="B96" s="255"/>
      <c r="C96" s="375" t="s">
        <v>80</v>
      </c>
      <c r="D96" s="375"/>
      <c r="E96" s="375"/>
      <c r="F96" s="375"/>
      <c r="G96" s="375"/>
      <c r="H96" s="375"/>
      <c r="I96" s="375"/>
      <c r="J96" s="375"/>
      <c r="K96" s="375"/>
      <c r="L96" s="375"/>
      <c r="M96" s="375" t="s">
        <v>161</v>
      </c>
      <c r="N96" s="375"/>
      <c r="O96" s="375"/>
      <c r="P96" s="375"/>
      <c r="Q96" s="375"/>
      <c r="R96" s="375"/>
      <c r="S96" s="375"/>
      <c r="T96" s="375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  <c r="AI96" s="375"/>
      <c r="AJ96" s="375"/>
      <c r="AK96" s="375"/>
      <c r="AL96" s="375"/>
      <c r="AM96" s="375"/>
      <c r="AN96" s="462" t="s">
        <v>907</v>
      </c>
      <c r="AO96" s="462"/>
      <c r="AP96" s="462"/>
      <c r="AQ96" s="462"/>
      <c r="AR96" s="462"/>
      <c r="AS96" s="462"/>
    </row>
    <row r="97" spans="1:45" s="181" customFormat="1" ht="63.75" customHeight="1" x14ac:dyDescent="0.25">
      <c r="A97" s="675"/>
      <c r="B97" s="255"/>
      <c r="C97" s="526" t="s">
        <v>0</v>
      </c>
      <c r="D97" s="526"/>
      <c r="E97" s="526"/>
      <c r="F97" s="526"/>
      <c r="G97" s="526"/>
      <c r="H97" s="526"/>
      <c r="I97" s="526"/>
      <c r="J97" s="526"/>
      <c r="K97" s="526"/>
      <c r="L97" s="526"/>
      <c r="M97" s="526" t="s">
        <v>5</v>
      </c>
      <c r="N97" s="526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7">
        <f>VLOOKUP("УТ-00096756",'Выгрузка из 1С'!$B$4:$K$1989,10,FALSE)</f>
        <v>21600</v>
      </c>
      <c r="AO97" s="528"/>
      <c r="AP97" s="528"/>
      <c r="AQ97" s="528"/>
      <c r="AR97" s="528"/>
      <c r="AS97" s="528"/>
    </row>
    <row r="98" spans="1:45" s="181" customFormat="1" ht="64.5" customHeight="1" x14ac:dyDescent="0.25">
      <c r="A98" s="675"/>
      <c r="B98" s="255"/>
      <c r="C98" s="526" t="s">
        <v>1</v>
      </c>
      <c r="D98" s="526"/>
      <c r="E98" s="526"/>
      <c r="F98" s="526"/>
      <c r="G98" s="526"/>
      <c r="H98" s="526"/>
      <c r="I98" s="526"/>
      <c r="J98" s="526"/>
      <c r="K98" s="526"/>
      <c r="L98" s="526"/>
      <c r="M98" s="526" t="s">
        <v>1935</v>
      </c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26"/>
      <c r="AC98" s="526"/>
      <c r="AD98" s="526"/>
      <c r="AE98" s="526"/>
      <c r="AF98" s="526"/>
      <c r="AG98" s="526"/>
      <c r="AH98" s="526"/>
      <c r="AI98" s="526"/>
      <c r="AJ98" s="526"/>
      <c r="AK98" s="526"/>
      <c r="AL98" s="526"/>
      <c r="AM98" s="526"/>
      <c r="AN98" s="527">
        <f>VLOOKUP("00-00035028",'Выгрузка из 1С'!$B$4:$K$1989,10,FALSE)</f>
        <v>26400</v>
      </c>
      <c r="AO98" s="528"/>
      <c r="AP98" s="528"/>
      <c r="AQ98" s="528"/>
      <c r="AR98" s="528"/>
      <c r="AS98" s="528"/>
    </row>
    <row r="99" spans="1:45" s="181" customFormat="1" ht="65.25" customHeight="1" x14ac:dyDescent="0.25">
      <c r="A99" s="675"/>
      <c r="B99" s="255"/>
      <c r="C99" s="526" t="s">
        <v>2</v>
      </c>
      <c r="D99" s="526"/>
      <c r="E99" s="526"/>
      <c r="F99" s="526"/>
      <c r="G99" s="526"/>
      <c r="H99" s="526"/>
      <c r="I99" s="526"/>
      <c r="J99" s="526"/>
      <c r="K99" s="526"/>
      <c r="L99" s="526"/>
      <c r="M99" s="526" t="s">
        <v>1934</v>
      </c>
      <c r="N99" s="526"/>
      <c r="O99" s="526"/>
      <c r="P99" s="526"/>
      <c r="Q99" s="526"/>
      <c r="R99" s="526"/>
      <c r="S99" s="526"/>
      <c r="T99" s="526"/>
      <c r="U99" s="526"/>
      <c r="V99" s="526"/>
      <c r="W99" s="526"/>
      <c r="X99" s="526"/>
      <c r="Y99" s="526"/>
      <c r="Z99" s="526"/>
      <c r="AA99" s="526"/>
      <c r="AB99" s="526"/>
      <c r="AC99" s="526"/>
      <c r="AD99" s="526"/>
      <c r="AE99" s="526"/>
      <c r="AF99" s="526"/>
      <c r="AG99" s="526"/>
      <c r="AH99" s="526"/>
      <c r="AI99" s="526"/>
      <c r="AJ99" s="526"/>
      <c r="AK99" s="526"/>
      <c r="AL99" s="526"/>
      <c r="AM99" s="526"/>
      <c r="AN99" s="527" t="e">
        <f>VLOOKUP("00-00000002",'Выгрузка из 1С'!$B$4:$K$1989,10,FALSE)</f>
        <v>#N/A</v>
      </c>
      <c r="AO99" s="528"/>
      <c r="AP99" s="528"/>
      <c r="AQ99" s="528"/>
      <c r="AR99" s="528"/>
      <c r="AS99" s="528"/>
    </row>
    <row r="100" spans="1:45" s="181" customFormat="1" ht="63.75" customHeight="1" x14ac:dyDescent="0.25">
      <c r="A100" s="675"/>
      <c r="B100" s="255"/>
      <c r="C100" s="526" t="s">
        <v>906</v>
      </c>
      <c r="D100" s="526"/>
      <c r="E100" s="526"/>
      <c r="F100" s="526"/>
      <c r="G100" s="526"/>
      <c r="H100" s="526"/>
      <c r="I100" s="526"/>
      <c r="J100" s="526"/>
      <c r="K100" s="526"/>
      <c r="L100" s="526"/>
      <c r="M100" s="526" t="s">
        <v>3</v>
      </c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6"/>
      <c r="AC100" s="526"/>
      <c r="AD100" s="526"/>
      <c r="AE100" s="526"/>
      <c r="AF100" s="526"/>
      <c r="AG100" s="526"/>
      <c r="AH100" s="526"/>
      <c r="AI100" s="526"/>
      <c r="AJ100" s="526"/>
      <c r="AK100" s="526"/>
      <c r="AL100" s="526"/>
      <c r="AM100" s="526"/>
      <c r="AN100" s="527">
        <f>VLOOKUP("УТ-00039489",'Выгрузка из 1С'!$B$4:$K$1989,10,FALSE)</f>
        <v>70800</v>
      </c>
      <c r="AO100" s="528"/>
      <c r="AP100" s="528"/>
      <c r="AQ100" s="528"/>
      <c r="AR100" s="528"/>
      <c r="AS100" s="528"/>
    </row>
    <row r="101" spans="1:45" s="181" customFormat="1" ht="65.25" customHeight="1" x14ac:dyDescent="0.25">
      <c r="A101" s="675"/>
      <c r="B101" s="255"/>
      <c r="C101" s="526" t="s">
        <v>4</v>
      </c>
      <c r="D101" s="526"/>
      <c r="E101" s="526"/>
      <c r="F101" s="526"/>
      <c r="G101" s="526"/>
      <c r="H101" s="526"/>
      <c r="I101" s="526"/>
      <c r="J101" s="526"/>
      <c r="K101" s="526"/>
      <c r="L101" s="526"/>
      <c r="M101" s="526" t="s">
        <v>1933</v>
      </c>
      <c r="N101" s="526"/>
      <c r="O101" s="526"/>
      <c r="P101" s="526"/>
      <c r="Q101" s="526"/>
      <c r="R101" s="526"/>
      <c r="S101" s="526"/>
      <c r="T101" s="526"/>
      <c r="U101" s="526"/>
      <c r="V101" s="526"/>
      <c r="W101" s="526"/>
      <c r="X101" s="526"/>
      <c r="Y101" s="526"/>
      <c r="Z101" s="526"/>
      <c r="AA101" s="526"/>
      <c r="AB101" s="526"/>
      <c r="AC101" s="526"/>
      <c r="AD101" s="526"/>
      <c r="AE101" s="526"/>
      <c r="AF101" s="526"/>
      <c r="AG101" s="526"/>
      <c r="AH101" s="526"/>
      <c r="AI101" s="526"/>
      <c r="AJ101" s="526"/>
      <c r="AK101" s="526"/>
      <c r="AL101" s="526"/>
      <c r="AM101" s="526"/>
      <c r="AN101" s="527">
        <f>VLOOKUP("УТ-00042033",'Выгрузка из 1С'!$B$4:$K$1989,10,FALSE)</f>
        <v>57600</v>
      </c>
      <c r="AO101" s="528"/>
      <c r="AP101" s="528"/>
      <c r="AQ101" s="528"/>
      <c r="AR101" s="528"/>
      <c r="AS101" s="528"/>
    </row>
    <row r="102" spans="1:45" s="181" customFormat="1" ht="64.5" customHeight="1" x14ac:dyDescent="0.25">
      <c r="A102" s="675"/>
      <c r="B102" s="255"/>
      <c r="C102" s="526" t="s">
        <v>6</v>
      </c>
      <c r="D102" s="526"/>
      <c r="E102" s="526"/>
      <c r="F102" s="526"/>
      <c r="G102" s="526"/>
      <c r="H102" s="526"/>
      <c r="I102" s="526"/>
      <c r="J102" s="526"/>
      <c r="K102" s="526"/>
      <c r="L102" s="526"/>
      <c r="M102" s="526" t="s">
        <v>1932</v>
      </c>
      <c r="N102" s="526"/>
      <c r="O102" s="526"/>
      <c r="P102" s="526"/>
      <c r="Q102" s="526"/>
      <c r="R102" s="526"/>
      <c r="S102" s="526"/>
      <c r="T102" s="526"/>
      <c r="U102" s="526"/>
      <c r="V102" s="526"/>
      <c r="W102" s="526"/>
      <c r="X102" s="526"/>
      <c r="Y102" s="526"/>
      <c r="Z102" s="526"/>
      <c r="AA102" s="526"/>
      <c r="AB102" s="526"/>
      <c r="AC102" s="526"/>
      <c r="AD102" s="526"/>
      <c r="AE102" s="526"/>
      <c r="AF102" s="526"/>
      <c r="AG102" s="526"/>
      <c r="AH102" s="526"/>
      <c r="AI102" s="526"/>
      <c r="AJ102" s="526"/>
      <c r="AK102" s="526"/>
      <c r="AL102" s="526"/>
      <c r="AM102" s="526"/>
      <c r="AN102" s="527">
        <f>VLOOKUP("УТ-00042034",'Выгрузка из 1С'!$B$4:$K$1989,10,FALSE)</f>
        <v>82800</v>
      </c>
      <c r="AO102" s="528"/>
      <c r="AP102" s="528"/>
      <c r="AQ102" s="528"/>
      <c r="AR102" s="528"/>
      <c r="AS102" s="528"/>
    </row>
    <row r="103" spans="1:45" s="37" customFormat="1" ht="13.5" customHeight="1" x14ac:dyDescent="0.25">
      <c r="A103" s="255"/>
      <c r="B103" s="255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239"/>
      <c r="AO103" s="239"/>
      <c r="AP103" s="239"/>
      <c r="AQ103" s="239"/>
      <c r="AR103" s="239"/>
      <c r="AS103" s="239"/>
    </row>
    <row r="104" spans="1:45" s="37" customFormat="1" ht="15" customHeight="1" x14ac:dyDescent="0.25">
      <c r="A104" s="255"/>
      <c r="B104" s="255"/>
      <c r="C104" s="529" t="s">
        <v>221</v>
      </c>
      <c r="D104" s="530"/>
      <c r="E104" s="530"/>
      <c r="F104" s="530"/>
      <c r="G104" s="530"/>
      <c r="H104" s="530"/>
      <c r="I104" s="530"/>
      <c r="J104" s="530"/>
      <c r="K104" s="530"/>
      <c r="L104" s="530"/>
      <c r="M104" s="530"/>
      <c r="N104" s="530"/>
      <c r="O104" s="530"/>
      <c r="P104" s="530"/>
      <c r="Q104" s="530"/>
      <c r="R104" s="530"/>
      <c r="S104" s="530"/>
      <c r="T104" s="530"/>
      <c r="U104" s="530"/>
      <c r="V104" s="530"/>
      <c r="W104" s="530"/>
      <c r="X104" s="530"/>
      <c r="Y104" s="530"/>
      <c r="Z104" s="530"/>
      <c r="AA104" s="530"/>
      <c r="AB104" s="530"/>
      <c r="AC104" s="530"/>
      <c r="AD104" s="530"/>
      <c r="AE104" s="530"/>
      <c r="AF104" s="530"/>
      <c r="AG104" s="530"/>
      <c r="AH104" s="530"/>
      <c r="AI104" s="530"/>
      <c r="AJ104" s="530"/>
      <c r="AK104" s="530"/>
      <c r="AL104" s="530"/>
      <c r="AM104" s="530"/>
      <c r="AN104" s="320"/>
      <c r="AO104" s="320"/>
      <c r="AP104" s="320"/>
      <c r="AQ104" s="320"/>
      <c r="AR104" s="320"/>
      <c r="AS104" s="321"/>
    </row>
    <row r="105" spans="1:45" s="180" customFormat="1" ht="15" customHeight="1" x14ac:dyDescent="0.25">
      <c r="A105" s="255"/>
      <c r="B105" s="255"/>
      <c r="C105" s="531" t="s">
        <v>80</v>
      </c>
      <c r="D105" s="531"/>
      <c r="E105" s="531"/>
      <c r="F105" s="531"/>
      <c r="G105" s="531"/>
      <c r="H105" s="531"/>
      <c r="I105" s="531"/>
      <c r="J105" s="531"/>
      <c r="K105" s="531"/>
      <c r="L105" s="531"/>
      <c r="M105" s="531" t="s">
        <v>161</v>
      </c>
      <c r="N105" s="531"/>
      <c r="O105" s="531"/>
      <c r="P105" s="531"/>
      <c r="Q105" s="531"/>
      <c r="R105" s="531"/>
      <c r="S105" s="531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  <c r="AG105" s="531"/>
      <c r="AH105" s="531"/>
      <c r="AI105" s="531"/>
      <c r="AJ105" s="531"/>
      <c r="AK105" s="531"/>
      <c r="AL105" s="531"/>
      <c r="AM105" s="531"/>
      <c r="AN105" s="532" t="s">
        <v>907</v>
      </c>
      <c r="AO105" s="532"/>
      <c r="AP105" s="532"/>
      <c r="AQ105" s="532"/>
      <c r="AR105" s="532"/>
      <c r="AS105" s="532"/>
    </row>
    <row r="106" spans="1:45" s="150" customFormat="1" ht="28.5" customHeight="1" x14ac:dyDescent="0.25">
      <c r="A106" s="255"/>
      <c r="B106" s="255"/>
      <c r="C106" s="526" t="s">
        <v>195</v>
      </c>
      <c r="D106" s="526"/>
      <c r="E106" s="526"/>
      <c r="F106" s="526"/>
      <c r="G106" s="526"/>
      <c r="H106" s="526"/>
      <c r="I106" s="526"/>
      <c r="J106" s="526"/>
      <c r="K106" s="526"/>
      <c r="L106" s="526"/>
      <c r="M106" s="526" t="s">
        <v>214</v>
      </c>
      <c r="N106" s="526"/>
      <c r="O106" s="526"/>
      <c r="P106" s="526"/>
      <c r="Q106" s="526"/>
      <c r="R106" s="526"/>
      <c r="S106" s="526"/>
      <c r="T106" s="526"/>
      <c r="U106" s="526"/>
      <c r="V106" s="526"/>
      <c r="W106" s="526"/>
      <c r="X106" s="526"/>
      <c r="Y106" s="526"/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7">
        <f>VLOOKUP("УТ-00041826",'Выгрузка из 1С'!$B$4:$K$1989,10,FALSE)</f>
        <v>12840</v>
      </c>
      <c r="AO106" s="528"/>
      <c r="AP106" s="528"/>
      <c r="AQ106" s="528"/>
      <c r="AR106" s="528"/>
      <c r="AS106" s="528"/>
    </row>
    <row r="107" spans="1:45" s="150" customFormat="1" ht="28.5" customHeight="1" x14ac:dyDescent="0.25">
      <c r="A107" s="255"/>
      <c r="B107" s="255"/>
      <c r="C107" s="526" t="s">
        <v>196</v>
      </c>
      <c r="D107" s="526"/>
      <c r="E107" s="526"/>
      <c r="F107" s="526"/>
      <c r="G107" s="526"/>
      <c r="H107" s="526"/>
      <c r="I107" s="526"/>
      <c r="J107" s="526"/>
      <c r="K107" s="526"/>
      <c r="L107" s="526"/>
      <c r="M107" s="526" t="s">
        <v>268</v>
      </c>
      <c r="N107" s="526"/>
      <c r="O107" s="526"/>
      <c r="P107" s="526"/>
      <c r="Q107" s="526"/>
      <c r="R107" s="526"/>
      <c r="S107" s="526"/>
      <c r="T107" s="526"/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6"/>
      <c r="AF107" s="526"/>
      <c r="AG107" s="526"/>
      <c r="AH107" s="526"/>
      <c r="AI107" s="526"/>
      <c r="AJ107" s="526"/>
      <c r="AK107" s="526"/>
      <c r="AL107" s="526"/>
      <c r="AM107" s="526"/>
      <c r="AN107" s="527">
        <f>VLOOKUP("УТ-00042045",'Выгрузка из 1С'!$B$4:$K$1989,10,FALSE)</f>
        <v>5580</v>
      </c>
      <c r="AO107" s="528"/>
      <c r="AP107" s="528"/>
      <c r="AQ107" s="528"/>
      <c r="AR107" s="528"/>
      <c r="AS107" s="528"/>
    </row>
    <row r="108" spans="1:45" s="150" customFormat="1" ht="28.5" customHeight="1" x14ac:dyDescent="0.25">
      <c r="A108" s="255"/>
      <c r="B108" s="255"/>
      <c r="C108" s="526" t="s">
        <v>197</v>
      </c>
      <c r="D108" s="526"/>
      <c r="E108" s="526"/>
      <c r="F108" s="526"/>
      <c r="G108" s="526"/>
      <c r="H108" s="526"/>
      <c r="I108" s="526"/>
      <c r="J108" s="526"/>
      <c r="K108" s="526"/>
      <c r="L108" s="526"/>
      <c r="M108" s="526" t="s">
        <v>206</v>
      </c>
      <c r="N108" s="526"/>
      <c r="O108" s="526"/>
      <c r="P108" s="526"/>
      <c r="Q108" s="526"/>
      <c r="R108" s="526"/>
      <c r="S108" s="526"/>
      <c r="T108" s="526"/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7">
        <f>VLOOKUP("УТ-00041829",'Выгрузка из 1С'!$B$4:$K$1989,10,FALSE)</f>
        <v>4680</v>
      </c>
      <c r="AO108" s="528"/>
      <c r="AP108" s="528"/>
      <c r="AQ108" s="528"/>
      <c r="AR108" s="528"/>
      <c r="AS108" s="528"/>
    </row>
    <row r="109" spans="1:45" s="150" customFormat="1" ht="28.5" customHeight="1" x14ac:dyDescent="0.25">
      <c r="A109" s="255"/>
      <c r="B109" s="255"/>
      <c r="C109" s="526" t="s">
        <v>198</v>
      </c>
      <c r="D109" s="526"/>
      <c r="E109" s="526"/>
      <c r="F109" s="526"/>
      <c r="G109" s="526"/>
      <c r="H109" s="526"/>
      <c r="I109" s="526"/>
      <c r="J109" s="526"/>
      <c r="K109" s="526"/>
      <c r="L109" s="526"/>
      <c r="M109" s="526" t="s">
        <v>206</v>
      </c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7">
        <f>VLOOKUP("УТ-00042044",'Выгрузка из 1С'!$B$4:$K$1989,10,FALSE)</f>
        <v>3600</v>
      </c>
      <c r="AO109" s="528"/>
      <c r="AP109" s="528"/>
      <c r="AQ109" s="528"/>
      <c r="AR109" s="528"/>
      <c r="AS109" s="528"/>
    </row>
    <row r="110" spans="1:45" s="150" customFormat="1" ht="28.5" customHeight="1" x14ac:dyDescent="0.25">
      <c r="A110" s="255"/>
      <c r="B110" s="255"/>
      <c r="C110" s="526" t="s">
        <v>199</v>
      </c>
      <c r="D110" s="526"/>
      <c r="E110" s="526"/>
      <c r="F110" s="526"/>
      <c r="G110" s="526"/>
      <c r="H110" s="526"/>
      <c r="I110" s="526"/>
      <c r="J110" s="526"/>
      <c r="K110" s="526"/>
      <c r="L110" s="526"/>
      <c r="M110" s="526" t="s">
        <v>207</v>
      </c>
      <c r="N110" s="526"/>
      <c r="O110" s="526"/>
      <c r="P110" s="526"/>
      <c r="Q110" s="526"/>
      <c r="R110" s="526"/>
      <c r="S110" s="526"/>
      <c r="T110" s="526"/>
      <c r="U110" s="526"/>
      <c r="V110" s="526"/>
      <c r="W110" s="526"/>
      <c r="X110" s="526"/>
      <c r="Y110" s="526"/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7">
        <f>VLOOKUP("УТ-00042043",'Выгрузка из 1С'!$B$4:$K$1989,10,FALSE)</f>
        <v>10680</v>
      </c>
      <c r="AO110" s="528"/>
      <c r="AP110" s="528"/>
      <c r="AQ110" s="528"/>
      <c r="AR110" s="528"/>
      <c r="AS110" s="528"/>
    </row>
    <row r="111" spans="1:45" s="150" customFormat="1" ht="28.5" customHeight="1" x14ac:dyDescent="0.25">
      <c r="A111" s="255"/>
      <c r="B111" s="255"/>
      <c r="C111" s="526" t="s">
        <v>200</v>
      </c>
      <c r="D111" s="526"/>
      <c r="E111" s="526"/>
      <c r="F111" s="526"/>
      <c r="G111" s="526"/>
      <c r="H111" s="526"/>
      <c r="I111" s="526"/>
      <c r="J111" s="526"/>
      <c r="K111" s="526"/>
      <c r="L111" s="526"/>
      <c r="M111" s="526" t="s">
        <v>208</v>
      </c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7">
        <f>VLOOKUP("УТ-00042042",'Выгрузка из 1С'!$B$4:$K$1989,10,FALSE)</f>
        <v>10680</v>
      </c>
      <c r="AO111" s="528"/>
      <c r="AP111" s="528"/>
      <c r="AQ111" s="528"/>
      <c r="AR111" s="528"/>
      <c r="AS111" s="528"/>
    </row>
    <row r="112" spans="1:45" s="150" customFormat="1" ht="28.5" customHeight="1" x14ac:dyDescent="0.25">
      <c r="A112" s="255"/>
      <c r="B112" s="255"/>
      <c r="C112" s="526" t="s">
        <v>733</v>
      </c>
      <c r="D112" s="526"/>
      <c r="E112" s="526"/>
      <c r="F112" s="526"/>
      <c r="G112" s="526"/>
      <c r="H112" s="526"/>
      <c r="I112" s="526"/>
      <c r="J112" s="526"/>
      <c r="K112" s="526"/>
      <c r="L112" s="526"/>
      <c r="M112" s="526" t="s">
        <v>215</v>
      </c>
      <c r="N112" s="526"/>
      <c r="O112" s="526"/>
      <c r="P112" s="526"/>
      <c r="Q112" s="526"/>
      <c r="R112" s="526"/>
      <c r="S112" s="526"/>
      <c r="T112" s="526"/>
      <c r="U112" s="526"/>
      <c r="V112" s="526"/>
      <c r="W112" s="526"/>
      <c r="X112" s="526"/>
      <c r="Y112" s="526"/>
      <c r="Z112" s="526"/>
      <c r="AA112" s="526"/>
      <c r="AB112" s="526"/>
      <c r="AC112" s="526"/>
      <c r="AD112" s="526"/>
      <c r="AE112" s="526"/>
      <c r="AF112" s="526"/>
      <c r="AG112" s="526"/>
      <c r="AH112" s="526"/>
      <c r="AI112" s="526"/>
      <c r="AJ112" s="526"/>
      <c r="AK112" s="526"/>
      <c r="AL112" s="526"/>
      <c r="AM112" s="526"/>
      <c r="AN112" s="527">
        <f>VLOOKUP("УТ-00042041",'Выгрузка из 1С'!$B$4:$K$1989,10,FALSE)</f>
        <v>22200</v>
      </c>
      <c r="AO112" s="528"/>
      <c r="AP112" s="528"/>
      <c r="AQ112" s="528"/>
      <c r="AR112" s="528"/>
      <c r="AS112" s="528"/>
    </row>
    <row r="113" spans="1:50" s="150" customFormat="1" ht="28.5" customHeight="1" x14ac:dyDescent="0.25">
      <c r="A113" s="255"/>
      <c r="B113" s="255"/>
      <c r="C113" s="526" t="s">
        <v>734</v>
      </c>
      <c r="D113" s="526"/>
      <c r="E113" s="526"/>
      <c r="F113" s="526"/>
      <c r="G113" s="526"/>
      <c r="H113" s="526"/>
      <c r="I113" s="526"/>
      <c r="J113" s="526"/>
      <c r="K113" s="526"/>
      <c r="L113" s="526"/>
      <c r="M113" s="526" t="s">
        <v>269</v>
      </c>
      <c r="N113" s="526"/>
      <c r="O113" s="526"/>
      <c r="P113" s="526"/>
      <c r="Q113" s="526"/>
      <c r="R113" s="526"/>
      <c r="S113" s="526"/>
      <c r="T113" s="526"/>
      <c r="U113" s="526"/>
      <c r="V113" s="526"/>
      <c r="W113" s="526"/>
      <c r="X113" s="526"/>
      <c r="Y113" s="526"/>
      <c r="Z113" s="526"/>
      <c r="AA113" s="526"/>
      <c r="AB113" s="526"/>
      <c r="AC113" s="526"/>
      <c r="AD113" s="526"/>
      <c r="AE113" s="526"/>
      <c r="AF113" s="526"/>
      <c r="AG113" s="526"/>
      <c r="AH113" s="526"/>
      <c r="AI113" s="526"/>
      <c r="AJ113" s="526"/>
      <c r="AK113" s="526"/>
      <c r="AL113" s="526"/>
      <c r="AM113" s="526"/>
      <c r="AN113" s="527">
        <f>VLOOKUP("УТ-00042040",'Выгрузка из 1С'!$B$4:$K$1989,10,FALSE)</f>
        <v>19800</v>
      </c>
      <c r="AO113" s="528"/>
      <c r="AP113" s="528"/>
      <c r="AQ113" s="528"/>
      <c r="AR113" s="528"/>
      <c r="AS113" s="528"/>
    </row>
    <row r="114" spans="1:50" s="150" customFormat="1" ht="28.5" customHeight="1" x14ac:dyDescent="0.25">
      <c r="A114" s="255"/>
      <c r="B114" s="255"/>
      <c r="C114" s="526" t="s">
        <v>201</v>
      </c>
      <c r="D114" s="526"/>
      <c r="E114" s="526"/>
      <c r="F114" s="526"/>
      <c r="G114" s="526"/>
      <c r="H114" s="526"/>
      <c r="I114" s="526"/>
      <c r="J114" s="526"/>
      <c r="K114" s="526"/>
      <c r="L114" s="526"/>
      <c r="M114" s="526" t="s">
        <v>270</v>
      </c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/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/>
      <c r="AL114" s="526"/>
      <c r="AM114" s="526"/>
      <c r="AN114" s="527">
        <f>VLOOKUP("УТ-00042039",'Выгрузка из 1С'!$B$4:$K$1989,10,FALSE)</f>
        <v>33420</v>
      </c>
      <c r="AO114" s="528"/>
      <c r="AP114" s="528"/>
      <c r="AQ114" s="528"/>
      <c r="AR114" s="528"/>
      <c r="AS114" s="528"/>
    </row>
    <row r="115" spans="1:50" s="150" customFormat="1" ht="28.5" customHeight="1" x14ac:dyDescent="0.25">
      <c r="A115" s="255"/>
      <c r="B115" s="255"/>
      <c r="C115" s="526" t="s">
        <v>735</v>
      </c>
      <c r="D115" s="526"/>
      <c r="E115" s="526"/>
      <c r="F115" s="526"/>
      <c r="G115" s="526"/>
      <c r="H115" s="526"/>
      <c r="I115" s="526"/>
      <c r="J115" s="526"/>
      <c r="K115" s="526"/>
      <c r="L115" s="526"/>
      <c r="M115" s="526" t="s">
        <v>266</v>
      </c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7">
        <f>VLOOKUP("УТ-00042047",'Выгрузка из 1С'!$B$4:$K$1989,10,FALSE)</f>
        <v>5400</v>
      </c>
      <c r="AO115" s="528"/>
      <c r="AP115" s="528"/>
      <c r="AQ115" s="528"/>
      <c r="AR115" s="528"/>
      <c r="AS115" s="528"/>
    </row>
    <row r="116" spans="1:50" s="150" customFormat="1" ht="28.5" customHeight="1" x14ac:dyDescent="0.25">
      <c r="A116" s="255"/>
      <c r="B116" s="255"/>
      <c r="C116" s="526" t="s">
        <v>202</v>
      </c>
      <c r="D116" s="526"/>
      <c r="E116" s="526"/>
      <c r="F116" s="526"/>
      <c r="G116" s="526"/>
      <c r="H116" s="526"/>
      <c r="I116" s="526"/>
      <c r="J116" s="526"/>
      <c r="K116" s="526"/>
      <c r="L116" s="526"/>
      <c r="M116" s="526" t="s">
        <v>209</v>
      </c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7">
        <f>VLOOKUP("УТ-00041827",'Выгрузка из 1С'!$B$4:$K$1989,10,FALSE)</f>
        <v>17400</v>
      </c>
      <c r="AO116" s="528"/>
      <c r="AP116" s="528"/>
      <c r="AQ116" s="528"/>
      <c r="AR116" s="528"/>
      <c r="AS116" s="528"/>
    </row>
    <row r="117" spans="1:50" s="150" customFormat="1" ht="28.5" customHeight="1" x14ac:dyDescent="0.25">
      <c r="A117" s="255"/>
      <c r="B117" s="255"/>
      <c r="C117" s="526" t="s">
        <v>203</v>
      </c>
      <c r="D117" s="526"/>
      <c r="E117" s="526"/>
      <c r="F117" s="526"/>
      <c r="G117" s="526"/>
      <c r="H117" s="526"/>
      <c r="I117" s="526"/>
      <c r="J117" s="526"/>
      <c r="K117" s="526"/>
      <c r="L117" s="526"/>
      <c r="M117" s="526" t="s">
        <v>210</v>
      </c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7">
        <f>VLOOKUP("УТ-00041828",'Выгрузка из 1С'!$B$4:$K$1989,10,FALSE)</f>
        <v>3600</v>
      </c>
      <c r="AO117" s="528"/>
      <c r="AP117" s="528"/>
      <c r="AQ117" s="528"/>
      <c r="AR117" s="528"/>
      <c r="AS117" s="528"/>
    </row>
    <row r="118" spans="1:50" s="150" customFormat="1" ht="28.5" customHeight="1" x14ac:dyDescent="0.25">
      <c r="A118" s="255"/>
      <c r="B118" s="255"/>
      <c r="C118" s="526" t="s">
        <v>204</v>
      </c>
      <c r="D118" s="526"/>
      <c r="E118" s="526"/>
      <c r="F118" s="526"/>
      <c r="G118" s="526"/>
      <c r="H118" s="526"/>
      <c r="I118" s="526"/>
      <c r="J118" s="526"/>
      <c r="K118" s="526"/>
      <c r="L118" s="526"/>
      <c r="M118" s="526" t="s">
        <v>211</v>
      </c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7">
        <f>VLOOKUP("УТ-00096841",'Выгрузка из 1С'!$B$4:$K$1989,10,FALSE)</f>
        <v>9480</v>
      </c>
      <c r="AO118" s="528"/>
      <c r="AP118" s="528"/>
      <c r="AQ118" s="528"/>
      <c r="AR118" s="528"/>
      <c r="AS118" s="528"/>
    </row>
    <row r="119" spans="1:50" s="150" customFormat="1" ht="28.5" customHeight="1" x14ac:dyDescent="0.25">
      <c r="A119" s="255"/>
      <c r="B119" s="255"/>
      <c r="C119" s="526" t="s">
        <v>205</v>
      </c>
      <c r="D119" s="526"/>
      <c r="E119" s="526"/>
      <c r="F119" s="526"/>
      <c r="G119" s="526"/>
      <c r="H119" s="526"/>
      <c r="I119" s="526"/>
      <c r="J119" s="526"/>
      <c r="K119" s="526"/>
      <c r="L119" s="526"/>
      <c r="M119" s="526" t="s">
        <v>267</v>
      </c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7">
        <f>VLOOKUP("УТ-00042046",'Выгрузка из 1С'!$B$4:$K$1989,10,FALSE)</f>
        <v>5400</v>
      </c>
      <c r="AO119" s="528"/>
      <c r="AP119" s="528"/>
      <c r="AQ119" s="528"/>
      <c r="AR119" s="528"/>
      <c r="AS119" s="528"/>
    </row>
    <row r="120" spans="1:50" s="19" customFormat="1" x14ac:dyDescent="0.25">
      <c r="A120" s="170"/>
      <c r="B120" s="170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</row>
    <row r="121" spans="1:50" s="36" customFormat="1" ht="14.25" customHeight="1" x14ac:dyDescent="0.25">
      <c r="A121" s="13"/>
      <c r="B121" s="13"/>
      <c r="C121" s="49" t="s">
        <v>168</v>
      </c>
      <c r="D121" s="185"/>
      <c r="E121" s="185"/>
      <c r="F121" s="185"/>
      <c r="G121" s="185"/>
      <c r="H121" s="185"/>
      <c r="I121" s="185"/>
      <c r="J121" s="185"/>
      <c r="K121" s="185"/>
      <c r="L121" s="185"/>
      <c r="M121" s="535"/>
      <c r="N121" s="535"/>
      <c r="O121" s="535"/>
      <c r="P121" s="535"/>
      <c r="Q121" s="535"/>
      <c r="R121" s="535"/>
      <c r="S121" s="535"/>
      <c r="T121" s="535"/>
      <c r="U121" s="535"/>
      <c r="V121" s="535"/>
      <c r="W121" s="535"/>
      <c r="X121" s="535"/>
      <c r="Y121" s="535"/>
      <c r="Z121" s="535"/>
      <c r="AA121" s="535"/>
      <c r="AB121" s="535"/>
      <c r="AC121" s="535"/>
      <c r="AD121" s="535"/>
      <c r="AE121" s="535"/>
      <c r="AF121" s="535"/>
      <c r="AG121" s="535"/>
      <c r="AH121" s="535"/>
      <c r="AI121" s="535"/>
      <c r="AJ121" s="535"/>
      <c r="AK121" s="535"/>
      <c r="AL121" s="535"/>
      <c r="AM121" s="535"/>
      <c r="AN121" s="535"/>
      <c r="AO121" s="535"/>
      <c r="AP121" s="535"/>
      <c r="AQ121" s="185"/>
      <c r="AR121" s="185"/>
      <c r="AS121" s="185"/>
      <c r="AX121" s="186"/>
    </row>
    <row r="122" spans="1:50" s="188" customFormat="1" ht="14.25" customHeight="1" x14ac:dyDescent="0.25">
      <c r="A122" s="187"/>
      <c r="B122" s="187"/>
      <c r="C122" s="454" t="s">
        <v>80</v>
      </c>
      <c r="D122" s="454"/>
      <c r="E122" s="454"/>
      <c r="F122" s="454"/>
      <c r="G122" s="454"/>
      <c r="H122" s="454"/>
      <c r="I122" s="454"/>
      <c r="J122" s="454"/>
      <c r="K122" s="454"/>
      <c r="L122" s="454"/>
      <c r="M122" s="454" t="s">
        <v>161</v>
      </c>
      <c r="N122" s="454"/>
      <c r="O122" s="454"/>
      <c r="P122" s="454"/>
      <c r="Q122" s="454"/>
      <c r="R122" s="454"/>
      <c r="S122" s="454"/>
      <c r="T122" s="454"/>
      <c r="U122" s="454"/>
      <c r="V122" s="454"/>
      <c r="W122" s="454"/>
      <c r="X122" s="454"/>
      <c r="Y122" s="454"/>
      <c r="Z122" s="454"/>
      <c r="AA122" s="454"/>
      <c r="AB122" s="454"/>
      <c r="AC122" s="454"/>
      <c r="AD122" s="454"/>
      <c r="AE122" s="454"/>
      <c r="AF122" s="454"/>
      <c r="AG122" s="454"/>
      <c r="AH122" s="454"/>
      <c r="AI122" s="454"/>
      <c r="AJ122" s="454"/>
      <c r="AK122" s="454"/>
      <c r="AL122" s="454"/>
      <c r="AM122" s="454"/>
      <c r="AN122" s="346" t="s">
        <v>907</v>
      </c>
      <c r="AO122" s="346"/>
      <c r="AP122" s="346"/>
      <c r="AQ122" s="346"/>
      <c r="AR122" s="346"/>
      <c r="AS122" s="346"/>
      <c r="AX122" s="189"/>
    </row>
    <row r="123" spans="1:50" s="36" customFormat="1" ht="35.25" customHeight="1" x14ac:dyDescent="0.25">
      <c r="A123" s="536"/>
      <c r="B123" s="5"/>
      <c r="C123" s="534" t="s">
        <v>7</v>
      </c>
      <c r="D123" s="534"/>
      <c r="E123" s="534"/>
      <c r="F123" s="534"/>
      <c r="G123" s="534"/>
      <c r="H123" s="534"/>
      <c r="I123" s="534"/>
      <c r="J123" s="534"/>
      <c r="K123" s="534"/>
      <c r="L123" s="534"/>
      <c r="M123" s="534" t="s">
        <v>21</v>
      </c>
      <c r="N123" s="534"/>
      <c r="O123" s="534"/>
      <c r="P123" s="534"/>
      <c r="Q123" s="534"/>
      <c r="R123" s="534"/>
      <c r="S123" s="534"/>
      <c r="T123" s="534"/>
      <c r="U123" s="534"/>
      <c r="V123" s="534"/>
      <c r="W123" s="534"/>
      <c r="X123" s="534"/>
      <c r="Y123" s="534"/>
      <c r="Z123" s="534"/>
      <c r="AA123" s="534"/>
      <c r="AB123" s="534"/>
      <c r="AC123" s="534"/>
      <c r="AD123" s="534"/>
      <c r="AE123" s="534"/>
      <c r="AF123" s="534"/>
      <c r="AG123" s="534"/>
      <c r="AH123" s="534"/>
      <c r="AI123" s="534"/>
      <c r="AJ123" s="534"/>
      <c r="AK123" s="534"/>
      <c r="AL123" s="534"/>
      <c r="AM123" s="534"/>
      <c r="AN123" s="533">
        <f>VLOOKUP("УТ-00041106",'Выгрузка из 1С'!$B$4:$K$1989,10,FALSE)</f>
        <v>23100</v>
      </c>
      <c r="AO123" s="533"/>
      <c r="AP123" s="533"/>
      <c r="AQ123" s="533"/>
      <c r="AR123" s="533"/>
      <c r="AS123" s="533"/>
      <c r="AX123" s="186"/>
    </row>
    <row r="124" spans="1:50" s="36" customFormat="1" ht="35.25" customHeight="1" x14ac:dyDescent="0.25">
      <c r="A124" s="536"/>
      <c r="B124" s="5"/>
      <c r="C124" s="534" t="s">
        <v>8</v>
      </c>
      <c r="D124" s="534"/>
      <c r="E124" s="534"/>
      <c r="F124" s="534"/>
      <c r="G124" s="534"/>
      <c r="H124" s="534"/>
      <c r="I124" s="534"/>
      <c r="J124" s="534"/>
      <c r="K124" s="534"/>
      <c r="L124" s="534"/>
      <c r="M124" s="534" t="s">
        <v>22</v>
      </c>
      <c r="N124" s="534"/>
      <c r="O124" s="534"/>
      <c r="P124" s="534"/>
      <c r="Q124" s="534"/>
      <c r="R124" s="534"/>
      <c r="S124" s="534"/>
      <c r="T124" s="534"/>
      <c r="U124" s="534"/>
      <c r="V124" s="534"/>
      <c r="W124" s="534"/>
      <c r="X124" s="534"/>
      <c r="Y124" s="534"/>
      <c r="Z124" s="534"/>
      <c r="AA124" s="534"/>
      <c r="AB124" s="534"/>
      <c r="AC124" s="534"/>
      <c r="AD124" s="534"/>
      <c r="AE124" s="534"/>
      <c r="AF124" s="534"/>
      <c r="AG124" s="534"/>
      <c r="AH124" s="534"/>
      <c r="AI124" s="534"/>
      <c r="AJ124" s="534"/>
      <c r="AK124" s="534"/>
      <c r="AL124" s="534"/>
      <c r="AM124" s="534"/>
      <c r="AN124" s="533">
        <f>VLOOKUP("УТ-00041109",'Выгрузка из 1С'!$B$4:$K$1989,10,FALSE)</f>
        <v>27960</v>
      </c>
      <c r="AO124" s="533"/>
      <c r="AP124" s="533"/>
      <c r="AQ124" s="533"/>
      <c r="AR124" s="533"/>
      <c r="AS124" s="533"/>
      <c r="AX124" s="186"/>
    </row>
    <row r="125" spans="1:50" s="36" customFormat="1" ht="35.25" customHeight="1" x14ac:dyDescent="0.25">
      <c r="A125" s="536"/>
      <c r="B125" s="5"/>
      <c r="C125" s="534" t="s">
        <v>11</v>
      </c>
      <c r="D125" s="534"/>
      <c r="E125" s="534"/>
      <c r="F125" s="534"/>
      <c r="G125" s="534"/>
      <c r="H125" s="534"/>
      <c r="I125" s="534"/>
      <c r="J125" s="534"/>
      <c r="K125" s="534"/>
      <c r="L125" s="534"/>
      <c r="M125" s="534" t="s">
        <v>23</v>
      </c>
      <c r="N125" s="534"/>
      <c r="O125" s="534"/>
      <c r="P125" s="534"/>
      <c r="Q125" s="534"/>
      <c r="R125" s="534"/>
      <c r="S125" s="534"/>
      <c r="T125" s="534"/>
      <c r="U125" s="534"/>
      <c r="V125" s="534"/>
      <c r="W125" s="534"/>
      <c r="X125" s="534"/>
      <c r="Y125" s="534"/>
      <c r="Z125" s="534"/>
      <c r="AA125" s="534"/>
      <c r="AB125" s="534"/>
      <c r="AC125" s="534"/>
      <c r="AD125" s="534"/>
      <c r="AE125" s="534"/>
      <c r="AF125" s="534"/>
      <c r="AG125" s="534"/>
      <c r="AH125" s="534"/>
      <c r="AI125" s="534"/>
      <c r="AJ125" s="534"/>
      <c r="AK125" s="534"/>
      <c r="AL125" s="534"/>
      <c r="AM125" s="534"/>
      <c r="AN125" s="533">
        <f>VLOOKUP("УТ-00041107",'Выгрузка из 1С'!$B$4:$K$1989,10,FALSE)</f>
        <v>25380</v>
      </c>
      <c r="AO125" s="533"/>
      <c r="AP125" s="533"/>
      <c r="AQ125" s="533"/>
      <c r="AR125" s="533"/>
      <c r="AS125" s="533"/>
      <c r="AX125" s="186"/>
    </row>
    <row r="126" spans="1:50" s="36" customFormat="1" ht="35.25" customHeight="1" x14ac:dyDescent="0.25">
      <c r="A126" s="536"/>
      <c r="B126" s="5"/>
      <c r="C126" s="534" t="s">
        <v>12</v>
      </c>
      <c r="D126" s="534"/>
      <c r="E126" s="534"/>
      <c r="F126" s="534"/>
      <c r="G126" s="534"/>
      <c r="H126" s="534"/>
      <c r="I126" s="534"/>
      <c r="J126" s="534"/>
      <c r="K126" s="534"/>
      <c r="L126" s="534"/>
      <c r="M126" s="534" t="s">
        <v>24</v>
      </c>
      <c r="N126" s="534"/>
      <c r="O126" s="534"/>
      <c r="P126" s="534"/>
      <c r="Q126" s="534"/>
      <c r="R126" s="534"/>
      <c r="S126" s="534"/>
      <c r="T126" s="534"/>
      <c r="U126" s="534"/>
      <c r="V126" s="534"/>
      <c r="W126" s="534"/>
      <c r="X126" s="534"/>
      <c r="Y126" s="534"/>
      <c r="Z126" s="534"/>
      <c r="AA126" s="534"/>
      <c r="AB126" s="534"/>
      <c r="AC126" s="534"/>
      <c r="AD126" s="534"/>
      <c r="AE126" s="534"/>
      <c r="AF126" s="534"/>
      <c r="AG126" s="534"/>
      <c r="AH126" s="534"/>
      <c r="AI126" s="534"/>
      <c r="AJ126" s="534"/>
      <c r="AK126" s="534"/>
      <c r="AL126" s="534"/>
      <c r="AM126" s="534"/>
      <c r="AN126" s="533">
        <f>VLOOKUP("УТ-00039816",'Выгрузка из 1С'!$B$4:$K$1989,10,FALSE)</f>
        <v>30240</v>
      </c>
      <c r="AO126" s="533"/>
      <c r="AP126" s="533"/>
      <c r="AQ126" s="533"/>
      <c r="AR126" s="533"/>
      <c r="AS126" s="533"/>
      <c r="AX126" s="186"/>
    </row>
    <row r="127" spans="1:50" s="36" customFormat="1" ht="35.25" customHeight="1" x14ac:dyDescent="0.25">
      <c r="A127" s="536"/>
      <c r="B127" s="5"/>
      <c r="C127" s="534" t="s">
        <v>13</v>
      </c>
      <c r="D127" s="534"/>
      <c r="E127" s="534"/>
      <c r="F127" s="534"/>
      <c r="G127" s="534"/>
      <c r="H127" s="534"/>
      <c r="I127" s="534"/>
      <c r="J127" s="534"/>
      <c r="K127" s="534"/>
      <c r="L127" s="534"/>
      <c r="M127" s="534" t="s">
        <v>30</v>
      </c>
      <c r="N127" s="534"/>
      <c r="O127" s="534"/>
      <c r="P127" s="534"/>
      <c r="Q127" s="534"/>
      <c r="R127" s="534"/>
      <c r="S127" s="534"/>
      <c r="T127" s="534"/>
      <c r="U127" s="534"/>
      <c r="V127" s="534"/>
      <c r="W127" s="534"/>
      <c r="X127" s="534"/>
      <c r="Y127" s="534"/>
      <c r="Z127" s="534"/>
      <c r="AA127" s="534"/>
      <c r="AB127" s="534"/>
      <c r="AC127" s="534"/>
      <c r="AD127" s="534"/>
      <c r="AE127" s="534"/>
      <c r="AF127" s="534"/>
      <c r="AG127" s="534"/>
      <c r="AH127" s="534"/>
      <c r="AI127" s="534"/>
      <c r="AJ127" s="534"/>
      <c r="AK127" s="534"/>
      <c r="AL127" s="534"/>
      <c r="AM127" s="534"/>
      <c r="AN127" s="533">
        <f>VLOOKUP("УТ-00039735",'Выгрузка из 1С'!$B$4:$K$1989,10,FALSE)</f>
        <v>78660</v>
      </c>
      <c r="AO127" s="533"/>
      <c r="AP127" s="533"/>
      <c r="AQ127" s="533"/>
      <c r="AR127" s="533"/>
      <c r="AS127" s="533"/>
      <c r="AX127" s="186"/>
    </row>
    <row r="128" spans="1:50" s="36" customFormat="1" ht="35.25" customHeight="1" x14ac:dyDescent="0.25">
      <c r="A128" s="536"/>
      <c r="B128" s="5"/>
      <c r="C128" s="534" t="s">
        <v>14</v>
      </c>
      <c r="D128" s="534"/>
      <c r="E128" s="534"/>
      <c r="F128" s="534"/>
      <c r="G128" s="534"/>
      <c r="H128" s="534"/>
      <c r="I128" s="534"/>
      <c r="J128" s="534"/>
      <c r="K128" s="534"/>
      <c r="L128" s="534"/>
      <c r="M128" s="534" t="s">
        <v>25</v>
      </c>
      <c r="N128" s="534"/>
      <c r="O128" s="534"/>
      <c r="P128" s="534"/>
      <c r="Q128" s="534"/>
      <c r="R128" s="534"/>
      <c r="S128" s="534"/>
      <c r="T128" s="534"/>
      <c r="U128" s="534"/>
      <c r="V128" s="534"/>
      <c r="W128" s="534"/>
      <c r="X128" s="534"/>
      <c r="Y128" s="534"/>
      <c r="Z128" s="534"/>
      <c r="AA128" s="534"/>
      <c r="AB128" s="534"/>
      <c r="AC128" s="534"/>
      <c r="AD128" s="534"/>
      <c r="AE128" s="534"/>
      <c r="AF128" s="534"/>
      <c r="AG128" s="534"/>
      <c r="AH128" s="534"/>
      <c r="AI128" s="534"/>
      <c r="AJ128" s="534"/>
      <c r="AK128" s="534"/>
      <c r="AL128" s="534"/>
      <c r="AM128" s="534"/>
      <c r="AN128" s="533">
        <f>VLOOKUP("УТ-00039744",'Выгрузка из 1С'!$B$4:$K$1989,10,FALSE)</f>
        <v>25320</v>
      </c>
      <c r="AO128" s="533"/>
      <c r="AP128" s="533"/>
      <c r="AQ128" s="533"/>
      <c r="AR128" s="533"/>
      <c r="AS128" s="533"/>
      <c r="AX128" s="186"/>
    </row>
    <row r="129" spans="1:50" s="36" customFormat="1" ht="35.25" customHeight="1" x14ac:dyDescent="0.25">
      <c r="A129" s="536"/>
      <c r="B129" s="5"/>
      <c r="C129" s="534" t="s">
        <v>15</v>
      </c>
      <c r="D129" s="534"/>
      <c r="E129" s="534"/>
      <c r="F129" s="534"/>
      <c r="G129" s="534"/>
      <c r="H129" s="534"/>
      <c r="I129" s="534"/>
      <c r="J129" s="534"/>
      <c r="K129" s="534"/>
      <c r="L129" s="534"/>
      <c r="M129" s="534" t="s">
        <v>26</v>
      </c>
      <c r="N129" s="534"/>
      <c r="O129" s="534"/>
      <c r="P129" s="534"/>
      <c r="Q129" s="534"/>
      <c r="R129" s="534"/>
      <c r="S129" s="534"/>
      <c r="T129" s="534"/>
      <c r="U129" s="534"/>
      <c r="V129" s="534"/>
      <c r="W129" s="534"/>
      <c r="X129" s="534"/>
      <c r="Y129" s="534"/>
      <c r="Z129" s="534"/>
      <c r="AA129" s="534"/>
      <c r="AB129" s="534"/>
      <c r="AC129" s="534"/>
      <c r="AD129" s="534"/>
      <c r="AE129" s="534"/>
      <c r="AF129" s="534"/>
      <c r="AG129" s="534"/>
      <c r="AH129" s="534"/>
      <c r="AI129" s="534"/>
      <c r="AJ129" s="534"/>
      <c r="AK129" s="534"/>
      <c r="AL129" s="534"/>
      <c r="AM129" s="534"/>
      <c r="AN129" s="533">
        <f>VLOOKUP("УТ-00039762",'Выгрузка из 1С'!$B$4:$K$1989,10,FALSE)</f>
        <v>26640</v>
      </c>
      <c r="AO129" s="533"/>
      <c r="AP129" s="533"/>
      <c r="AQ129" s="533"/>
      <c r="AR129" s="533"/>
      <c r="AS129" s="533"/>
      <c r="AX129" s="186"/>
    </row>
    <row r="130" spans="1:50" s="36" customFormat="1" ht="35.25" customHeight="1" x14ac:dyDescent="0.25">
      <c r="A130" s="536"/>
      <c r="B130" s="5"/>
      <c r="C130" s="534" t="s">
        <v>16</v>
      </c>
      <c r="D130" s="534"/>
      <c r="E130" s="534"/>
      <c r="F130" s="534"/>
      <c r="G130" s="534"/>
      <c r="H130" s="534"/>
      <c r="I130" s="534"/>
      <c r="J130" s="534"/>
      <c r="K130" s="534"/>
      <c r="L130" s="534"/>
      <c r="M130" s="534" t="s">
        <v>27</v>
      </c>
      <c r="N130" s="534"/>
      <c r="O130" s="534"/>
      <c r="P130" s="534"/>
      <c r="Q130" s="534"/>
      <c r="R130" s="534"/>
      <c r="S130" s="534"/>
      <c r="T130" s="534"/>
      <c r="U130" s="534"/>
      <c r="V130" s="534"/>
      <c r="W130" s="534"/>
      <c r="X130" s="534"/>
      <c r="Y130" s="534"/>
      <c r="Z130" s="534"/>
      <c r="AA130" s="534"/>
      <c r="AB130" s="534"/>
      <c r="AC130" s="534"/>
      <c r="AD130" s="534"/>
      <c r="AE130" s="534"/>
      <c r="AF130" s="534"/>
      <c r="AG130" s="534"/>
      <c r="AH130" s="534"/>
      <c r="AI130" s="534"/>
      <c r="AJ130" s="534"/>
      <c r="AK130" s="534"/>
      <c r="AL130" s="534"/>
      <c r="AM130" s="534"/>
      <c r="AN130" s="533">
        <f>VLOOKUP("УТ-00039780",'Выгрузка из 1С'!$B$4:$K$1989,10,FALSE)</f>
        <v>33720</v>
      </c>
      <c r="AO130" s="533"/>
      <c r="AP130" s="533"/>
      <c r="AQ130" s="533"/>
      <c r="AR130" s="533"/>
      <c r="AS130" s="533"/>
      <c r="AX130" s="186"/>
    </row>
    <row r="131" spans="1:50" s="36" customFormat="1" ht="35.25" customHeight="1" x14ac:dyDescent="0.25">
      <c r="A131" s="536"/>
      <c r="B131" s="5"/>
      <c r="C131" s="534" t="s">
        <v>17</v>
      </c>
      <c r="D131" s="534"/>
      <c r="E131" s="534"/>
      <c r="F131" s="534"/>
      <c r="G131" s="534"/>
      <c r="H131" s="534"/>
      <c r="I131" s="534"/>
      <c r="J131" s="534"/>
      <c r="K131" s="534"/>
      <c r="L131" s="534"/>
      <c r="M131" s="534" t="s">
        <v>28</v>
      </c>
      <c r="N131" s="534"/>
      <c r="O131" s="534"/>
      <c r="P131" s="534"/>
      <c r="Q131" s="534"/>
      <c r="R131" s="534"/>
      <c r="S131" s="534"/>
      <c r="T131" s="534"/>
      <c r="U131" s="534"/>
      <c r="V131" s="534"/>
      <c r="W131" s="534"/>
      <c r="X131" s="534"/>
      <c r="Y131" s="534"/>
      <c r="Z131" s="534"/>
      <c r="AA131" s="534"/>
      <c r="AB131" s="534"/>
      <c r="AC131" s="534"/>
      <c r="AD131" s="534"/>
      <c r="AE131" s="534"/>
      <c r="AF131" s="534"/>
      <c r="AG131" s="534"/>
      <c r="AH131" s="534"/>
      <c r="AI131" s="534"/>
      <c r="AJ131" s="534"/>
      <c r="AK131" s="534"/>
      <c r="AL131" s="534"/>
      <c r="AM131" s="534"/>
      <c r="AN131" s="533">
        <f>VLOOKUP("УТ-00039799",'Выгрузка из 1С'!$B$4:$K$1989,10,FALSE)</f>
        <v>39840</v>
      </c>
      <c r="AO131" s="533"/>
      <c r="AP131" s="533"/>
      <c r="AQ131" s="533"/>
      <c r="AR131" s="533"/>
      <c r="AS131" s="533"/>
      <c r="AX131" s="186"/>
    </row>
    <row r="132" spans="1:50" s="36" customFormat="1" ht="35.25" customHeight="1" x14ac:dyDescent="0.25">
      <c r="A132" s="536"/>
      <c r="B132" s="5"/>
      <c r="C132" s="534" t="s">
        <v>18</v>
      </c>
      <c r="D132" s="534"/>
      <c r="E132" s="534"/>
      <c r="F132" s="534"/>
      <c r="G132" s="534"/>
      <c r="H132" s="534"/>
      <c r="I132" s="534"/>
      <c r="J132" s="534"/>
      <c r="K132" s="534"/>
      <c r="L132" s="534"/>
      <c r="M132" s="534" t="s">
        <v>29</v>
      </c>
      <c r="N132" s="534"/>
      <c r="O132" s="534"/>
      <c r="P132" s="534"/>
      <c r="Q132" s="534"/>
      <c r="R132" s="534"/>
      <c r="S132" s="534"/>
      <c r="T132" s="534"/>
      <c r="U132" s="534"/>
      <c r="V132" s="534"/>
      <c r="W132" s="534"/>
      <c r="X132" s="534"/>
      <c r="Y132" s="534"/>
      <c r="Z132" s="534"/>
      <c r="AA132" s="534"/>
      <c r="AB132" s="534"/>
      <c r="AC132" s="534"/>
      <c r="AD132" s="534"/>
      <c r="AE132" s="534"/>
      <c r="AF132" s="534"/>
      <c r="AG132" s="534"/>
      <c r="AH132" s="534"/>
      <c r="AI132" s="534"/>
      <c r="AJ132" s="534"/>
      <c r="AK132" s="534"/>
      <c r="AL132" s="534"/>
      <c r="AM132" s="534"/>
      <c r="AN132" s="533">
        <f>VLOOKUP("УТ-00040182",'Выгрузка из 1С'!$B$4:$K$1989,10,FALSE)</f>
        <v>46608</v>
      </c>
      <c r="AO132" s="533"/>
      <c r="AP132" s="533"/>
      <c r="AQ132" s="533"/>
      <c r="AR132" s="533"/>
      <c r="AS132" s="533"/>
      <c r="AX132" s="186"/>
    </row>
    <row r="133" spans="1:50" s="36" customFormat="1" ht="35.25" customHeight="1" x14ac:dyDescent="0.25">
      <c r="A133" s="536"/>
      <c r="B133" s="5"/>
      <c r="C133" s="534" t="s">
        <v>1930</v>
      </c>
      <c r="D133" s="534"/>
      <c r="E133" s="534"/>
      <c r="F133" s="534"/>
      <c r="G133" s="534"/>
      <c r="H133" s="534"/>
      <c r="I133" s="534"/>
      <c r="J133" s="534"/>
      <c r="K133" s="534"/>
      <c r="L133" s="534"/>
      <c r="M133" s="534" t="s">
        <v>9</v>
      </c>
      <c r="N133" s="534"/>
      <c r="O133" s="534"/>
      <c r="P133" s="534"/>
      <c r="Q133" s="534"/>
      <c r="R133" s="534"/>
      <c r="S133" s="534"/>
      <c r="T133" s="534"/>
      <c r="U133" s="534"/>
      <c r="V133" s="534"/>
      <c r="W133" s="534"/>
      <c r="X133" s="534"/>
      <c r="Y133" s="534"/>
      <c r="Z133" s="534"/>
      <c r="AA133" s="534"/>
      <c r="AB133" s="534"/>
      <c r="AC133" s="534"/>
      <c r="AD133" s="534"/>
      <c r="AE133" s="534"/>
      <c r="AF133" s="534"/>
      <c r="AG133" s="534"/>
      <c r="AH133" s="534"/>
      <c r="AI133" s="534"/>
      <c r="AJ133" s="534"/>
      <c r="AK133" s="534"/>
      <c r="AL133" s="534"/>
      <c r="AM133" s="534"/>
      <c r="AN133" s="533">
        <f>VLOOKUP("УТ-00039732",'Выгрузка из 1С'!$B$4:$K$1989,10,FALSE)</f>
        <v>32940</v>
      </c>
      <c r="AO133" s="533"/>
      <c r="AP133" s="533"/>
      <c r="AQ133" s="533"/>
      <c r="AR133" s="533"/>
      <c r="AS133" s="533"/>
      <c r="AX133" s="186"/>
    </row>
    <row r="134" spans="1:50" s="36" customFormat="1" ht="35.25" customHeight="1" x14ac:dyDescent="0.25">
      <c r="A134" s="536"/>
      <c r="B134" s="5"/>
      <c r="C134" s="534" t="s">
        <v>1929</v>
      </c>
      <c r="D134" s="534"/>
      <c r="E134" s="534"/>
      <c r="F134" s="534"/>
      <c r="G134" s="534"/>
      <c r="H134" s="534"/>
      <c r="I134" s="534"/>
      <c r="J134" s="534"/>
      <c r="K134" s="534"/>
      <c r="L134" s="534"/>
      <c r="M134" s="534" t="s">
        <v>10</v>
      </c>
      <c r="N134" s="534"/>
      <c r="O134" s="534"/>
      <c r="P134" s="534"/>
      <c r="Q134" s="534"/>
      <c r="R134" s="534"/>
      <c r="S134" s="534"/>
      <c r="T134" s="534"/>
      <c r="U134" s="534"/>
      <c r="V134" s="534"/>
      <c r="W134" s="534"/>
      <c r="X134" s="534"/>
      <c r="Y134" s="534"/>
      <c r="Z134" s="534"/>
      <c r="AA134" s="534"/>
      <c r="AB134" s="534"/>
      <c r="AC134" s="534"/>
      <c r="AD134" s="534"/>
      <c r="AE134" s="534"/>
      <c r="AF134" s="534"/>
      <c r="AG134" s="534"/>
      <c r="AH134" s="534"/>
      <c r="AI134" s="534"/>
      <c r="AJ134" s="534"/>
      <c r="AK134" s="534"/>
      <c r="AL134" s="534"/>
      <c r="AM134" s="534"/>
      <c r="AN134" s="533">
        <f>VLOOKUP("УТ-00039730",'Выгрузка из 1С'!$B$4:$K$1989,10,FALSE)</f>
        <v>63240</v>
      </c>
      <c r="AO134" s="533"/>
      <c r="AP134" s="533"/>
      <c r="AQ134" s="533"/>
      <c r="AR134" s="533"/>
      <c r="AS134" s="533"/>
      <c r="AX134" s="186"/>
    </row>
    <row r="135" spans="1:50" s="36" customFormat="1" ht="13.5" customHeight="1" x14ac:dyDescent="0.25">
      <c r="A135" s="173"/>
      <c r="B135" s="5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6"/>
      <c r="AR135" s="6"/>
      <c r="AS135" s="6"/>
      <c r="AX135" s="186"/>
    </row>
    <row r="136" spans="1:50" s="190" customFormat="1" ht="13.5" customHeight="1" x14ac:dyDescent="0.2">
      <c r="A136" s="14"/>
      <c r="B136" s="15"/>
      <c r="C136" s="538" t="s">
        <v>67</v>
      </c>
      <c r="D136" s="538"/>
      <c r="E136" s="538"/>
      <c r="F136" s="538"/>
      <c r="G136" s="538"/>
      <c r="H136" s="538"/>
      <c r="I136" s="538"/>
      <c r="J136" s="538"/>
      <c r="K136" s="538"/>
      <c r="L136" s="538"/>
      <c r="M136" s="538"/>
      <c r="N136" s="538"/>
      <c r="O136" s="538"/>
      <c r="P136" s="538"/>
      <c r="Q136" s="538"/>
      <c r="R136" s="538"/>
      <c r="S136" s="538"/>
      <c r="T136" s="538"/>
      <c r="U136" s="538"/>
      <c r="V136" s="538"/>
      <c r="W136" s="538"/>
      <c r="X136" s="538"/>
      <c r="Y136" s="538"/>
      <c r="Z136" s="538"/>
      <c r="AA136" s="538"/>
      <c r="AB136" s="538"/>
      <c r="AC136" s="538"/>
      <c r="AD136" s="538"/>
      <c r="AE136" s="538"/>
      <c r="AF136" s="538"/>
      <c r="AG136" s="538"/>
      <c r="AH136" s="538"/>
      <c r="AI136" s="538"/>
      <c r="AJ136" s="538"/>
      <c r="AK136" s="538"/>
      <c r="AL136" s="538"/>
      <c r="AM136" s="538"/>
      <c r="AN136" s="538"/>
      <c r="AO136" s="538"/>
      <c r="AP136" s="538"/>
      <c r="AQ136" s="538"/>
      <c r="AR136" s="538"/>
      <c r="AS136" s="538"/>
      <c r="AX136" s="191"/>
    </row>
    <row r="137" spans="1:50" s="36" customFormat="1" ht="13.5" customHeight="1" x14ac:dyDescent="0.25">
      <c r="A137" s="536"/>
      <c r="B137" s="5"/>
      <c r="C137" s="537" t="s">
        <v>74</v>
      </c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3" t="e">
        <f>VLOOKUP("УТ-00096844",'Выгрузка из 1С'!$A:$C,3,FALSE)</f>
        <v>#N/A</v>
      </c>
      <c r="AO137" s="533"/>
      <c r="AP137" s="533"/>
      <c r="AQ137" s="533"/>
      <c r="AR137" s="533"/>
      <c r="AS137" s="533"/>
      <c r="AX137" s="186"/>
    </row>
    <row r="138" spans="1:50" s="36" customFormat="1" ht="13.5" customHeight="1" x14ac:dyDescent="0.25">
      <c r="A138" s="536"/>
      <c r="B138" s="5"/>
      <c r="C138" s="537" t="s">
        <v>75</v>
      </c>
      <c r="D138" s="537"/>
      <c r="E138" s="537"/>
      <c r="F138" s="537"/>
      <c r="G138" s="537"/>
      <c r="H138" s="537"/>
      <c r="I138" s="537"/>
      <c r="J138" s="537"/>
      <c r="K138" s="537"/>
      <c r="L138" s="537"/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537"/>
      <c r="AB138" s="537"/>
      <c r="AC138" s="537"/>
      <c r="AD138" s="537"/>
      <c r="AE138" s="537"/>
      <c r="AF138" s="537"/>
      <c r="AG138" s="537"/>
      <c r="AH138" s="537"/>
      <c r="AI138" s="537"/>
      <c r="AJ138" s="537"/>
      <c r="AK138" s="537"/>
      <c r="AL138" s="537"/>
      <c r="AM138" s="537"/>
      <c r="AN138" s="533" t="e">
        <f>VLOOKUP("",'Выгрузка из 1С'!$A:$C,3,FALSE)</f>
        <v>#N/A</v>
      </c>
      <c r="AO138" s="533"/>
      <c r="AP138" s="533"/>
      <c r="AQ138" s="533"/>
      <c r="AR138" s="533"/>
      <c r="AS138" s="533"/>
      <c r="AX138" s="186"/>
    </row>
    <row r="139" spans="1:50" s="36" customFormat="1" ht="13.5" customHeight="1" x14ac:dyDescent="0.25">
      <c r="A139" s="536"/>
      <c r="B139" s="5"/>
      <c r="C139" s="537" t="s">
        <v>76</v>
      </c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3" t="e">
        <f>VLOOKUP("УТ-00096846",'Выгрузка из 1С'!$A:$C,3,FALSE)</f>
        <v>#N/A</v>
      </c>
      <c r="AO139" s="533"/>
      <c r="AP139" s="533"/>
      <c r="AQ139" s="533"/>
      <c r="AR139" s="533"/>
      <c r="AS139" s="533"/>
      <c r="AX139" s="186"/>
    </row>
    <row r="140" spans="1:50" s="36" customFormat="1" ht="13.5" customHeight="1" x14ac:dyDescent="0.25">
      <c r="A140" s="536"/>
      <c r="B140" s="5"/>
      <c r="C140" s="537" t="s">
        <v>77</v>
      </c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3" t="e">
        <f>VLOOKUP("УТ-00096847",'Выгрузка из 1С'!$A:$C,3,FALSE)</f>
        <v>#N/A</v>
      </c>
      <c r="AO140" s="533"/>
      <c r="AP140" s="533"/>
      <c r="AQ140" s="533"/>
      <c r="AR140" s="533"/>
      <c r="AS140" s="533"/>
      <c r="AX140" s="186"/>
    </row>
    <row r="141" spans="1:50" s="36" customFormat="1" ht="13.5" customHeight="1" x14ac:dyDescent="0.25">
      <c r="A141" s="536"/>
      <c r="B141" s="5"/>
      <c r="C141" s="537" t="s">
        <v>78</v>
      </c>
      <c r="D141" s="537"/>
      <c r="E141" s="537"/>
      <c r="F141" s="537"/>
      <c r="G141" s="537"/>
      <c r="H141" s="537"/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/>
      <c r="Z141" s="537"/>
      <c r="AA141" s="537"/>
      <c r="AB141" s="537"/>
      <c r="AC141" s="537"/>
      <c r="AD141" s="537"/>
      <c r="AE141" s="537"/>
      <c r="AF141" s="537"/>
      <c r="AG141" s="537"/>
      <c r="AH141" s="537"/>
      <c r="AI141" s="537"/>
      <c r="AJ141" s="537"/>
      <c r="AK141" s="537"/>
      <c r="AL141" s="537"/>
      <c r="AM141" s="537"/>
      <c r="AN141" s="533" t="e">
        <f>VLOOKUP("УТ-00096848",'Выгрузка из 1С'!$A:$C,3,FALSE)</f>
        <v>#N/A</v>
      </c>
      <c r="AO141" s="533"/>
      <c r="AP141" s="533"/>
      <c r="AQ141" s="533"/>
      <c r="AR141" s="533"/>
      <c r="AS141" s="533"/>
      <c r="AX141" s="186"/>
    </row>
    <row r="142" spans="1:50" s="36" customFormat="1" ht="13.5" customHeight="1" x14ac:dyDescent="0.25">
      <c r="A142" s="173"/>
      <c r="B142" s="5"/>
      <c r="C142" s="544" t="s">
        <v>79</v>
      </c>
      <c r="D142" s="544"/>
      <c r="E142" s="544"/>
      <c r="F142" s="544"/>
      <c r="G142" s="544"/>
      <c r="H142" s="544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4"/>
      <c r="T142" s="544"/>
      <c r="U142" s="544"/>
      <c r="V142" s="544"/>
      <c r="W142" s="544"/>
      <c r="X142" s="544"/>
      <c r="Y142" s="544"/>
      <c r="Z142" s="544"/>
      <c r="AA142" s="544"/>
      <c r="AB142" s="544"/>
      <c r="AC142" s="544"/>
      <c r="AD142" s="544"/>
      <c r="AE142" s="544"/>
      <c r="AF142" s="544"/>
      <c r="AG142" s="544"/>
      <c r="AH142" s="544"/>
      <c r="AI142" s="544"/>
      <c r="AJ142" s="544"/>
      <c r="AK142" s="544"/>
      <c r="AL142" s="544"/>
      <c r="AM142" s="544"/>
      <c r="AN142" s="62"/>
      <c r="AO142" s="62"/>
      <c r="AP142" s="62"/>
      <c r="AQ142" s="63"/>
      <c r="AR142" s="63"/>
      <c r="AS142" s="63"/>
      <c r="AX142" s="186"/>
    </row>
    <row r="143" spans="1:50" s="36" customFormat="1" ht="13.5" customHeight="1" x14ac:dyDescent="0.25">
      <c r="A143" s="173"/>
      <c r="B143" s="5"/>
      <c r="C143" s="172"/>
      <c r="D143" s="172"/>
      <c r="E143" s="172"/>
      <c r="F143" s="172"/>
      <c r="G143" s="172"/>
      <c r="H143" s="172"/>
      <c r="I143" s="172"/>
      <c r="J143" s="172"/>
      <c r="K143" s="172"/>
      <c r="L143" s="17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3"/>
      <c r="AR143" s="63"/>
      <c r="AS143" s="63"/>
      <c r="AX143" s="186"/>
    </row>
    <row r="144" spans="1:50" s="190" customFormat="1" ht="13.5" customHeight="1" x14ac:dyDescent="0.2">
      <c r="A144" s="14"/>
      <c r="B144" s="15"/>
      <c r="C144" s="538" t="s">
        <v>68</v>
      </c>
      <c r="D144" s="538"/>
      <c r="E144" s="538"/>
      <c r="F144" s="538"/>
      <c r="G144" s="538"/>
      <c r="H144" s="538"/>
      <c r="I144" s="538"/>
      <c r="J144" s="538"/>
      <c r="K144" s="538"/>
      <c r="L144" s="538"/>
      <c r="M144" s="538"/>
      <c r="N144" s="538"/>
      <c r="O144" s="538"/>
      <c r="P144" s="538"/>
      <c r="Q144" s="538"/>
      <c r="R144" s="538"/>
      <c r="S144" s="538"/>
      <c r="T144" s="538"/>
      <c r="U144" s="538"/>
      <c r="V144" s="538"/>
      <c r="W144" s="538"/>
      <c r="X144" s="538"/>
      <c r="Y144" s="538"/>
      <c r="Z144" s="538"/>
      <c r="AA144" s="538"/>
      <c r="AB144" s="538"/>
      <c r="AC144" s="538"/>
      <c r="AD144" s="538"/>
      <c r="AE144" s="538"/>
      <c r="AF144" s="538"/>
      <c r="AG144" s="538"/>
      <c r="AH144" s="538"/>
      <c r="AI144" s="538"/>
      <c r="AJ144" s="538"/>
      <c r="AK144" s="538"/>
      <c r="AL144" s="538"/>
      <c r="AM144" s="538"/>
      <c r="AN144" s="538"/>
      <c r="AO144" s="538"/>
      <c r="AP144" s="538"/>
      <c r="AQ144" s="538"/>
      <c r="AR144" s="538"/>
      <c r="AS144" s="538"/>
    </row>
    <row r="145" spans="1:50" s="36" customFormat="1" ht="13.5" customHeight="1" x14ac:dyDescent="0.25">
      <c r="A145" s="536"/>
      <c r="B145" s="5"/>
      <c r="C145" s="545" t="s">
        <v>80</v>
      </c>
      <c r="D145" s="545"/>
      <c r="E145" s="545"/>
      <c r="F145" s="545"/>
      <c r="G145" s="545"/>
      <c r="H145" s="545"/>
      <c r="I145" s="545"/>
      <c r="J145" s="545"/>
      <c r="K145" s="545"/>
      <c r="L145" s="545"/>
      <c r="M145" s="545"/>
      <c r="N145" s="545"/>
      <c r="O145" s="545"/>
      <c r="P145" s="545"/>
      <c r="Q145" s="545"/>
      <c r="R145" s="545"/>
      <c r="S145" s="545"/>
      <c r="T145" s="545"/>
      <c r="U145" s="545"/>
      <c r="V145" s="545"/>
      <c r="W145" s="545"/>
      <c r="X145" s="545"/>
      <c r="Y145" s="545"/>
      <c r="Z145" s="545"/>
      <c r="AA145" s="545"/>
      <c r="AB145" s="545"/>
      <c r="AC145" s="545"/>
      <c r="AD145" s="545"/>
      <c r="AE145" s="545"/>
      <c r="AF145" s="545"/>
      <c r="AG145" s="545"/>
      <c r="AH145" s="545"/>
      <c r="AI145" s="545"/>
      <c r="AJ145" s="545"/>
      <c r="AK145" s="545"/>
      <c r="AL145" s="545"/>
      <c r="AM145" s="545"/>
      <c r="AN145" s="546" t="s">
        <v>907</v>
      </c>
      <c r="AO145" s="546"/>
      <c r="AP145" s="546"/>
      <c r="AQ145" s="546"/>
      <c r="AR145" s="546"/>
      <c r="AS145" s="546"/>
      <c r="AX145" s="186"/>
    </row>
    <row r="146" spans="1:50" s="36" customFormat="1" ht="13.5" customHeight="1" x14ac:dyDescent="0.25">
      <c r="A146" s="536"/>
      <c r="B146" s="5"/>
      <c r="C146" s="537" t="s">
        <v>81</v>
      </c>
      <c r="D146" s="537"/>
      <c r="E146" s="537"/>
      <c r="F146" s="537"/>
      <c r="G146" s="537"/>
      <c r="H146" s="537"/>
      <c r="I146" s="537"/>
      <c r="J146" s="537"/>
      <c r="K146" s="537"/>
      <c r="L146" s="537"/>
      <c r="M146" s="537"/>
      <c r="N146" s="537"/>
      <c r="O146" s="537"/>
      <c r="P146" s="537"/>
      <c r="Q146" s="537"/>
      <c r="R146" s="537"/>
      <c r="S146" s="537"/>
      <c r="T146" s="537"/>
      <c r="U146" s="537"/>
      <c r="V146" s="537"/>
      <c r="W146" s="537"/>
      <c r="X146" s="537"/>
      <c r="Y146" s="537"/>
      <c r="Z146" s="537"/>
      <c r="AA146" s="537"/>
      <c r="AB146" s="537"/>
      <c r="AC146" s="537"/>
      <c r="AD146" s="537"/>
      <c r="AE146" s="537"/>
      <c r="AF146" s="537"/>
      <c r="AG146" s="537"/>
      <c r="AH146" s="537"/>
      <c r="AI146" s="537"/>
      <c r="AJ146" s="537"/>
      <c r="AK146" s="537"/>
      <c r="AL146" s="537"/>
      <c r="AM146" s="537"/>
      <c r="AN146" s="533" t="e">
        <f>VLOOKUP("",'Выгрузка из 1С'!$A:$C,3,FALSE)</f>
        <v>#N/A</v>
      </c>
      <c r="AO146" s="533"/>
      <c r="AP146" s="533"/>
      <c r="AQ146" s="533"/>
      <c r="AR146" s="533"/>
      <c r="AS146" s="533"/>
      <c r="AX146" s="186"/>
    </row>
    <row r="147" spans="1:50" s="36" customFormat="1" ht="13.5" customHeight="1" x14ac:dyDescent="0.25">
      <c r="A147" s="536"/>
      <c r="B147" s="5"/>
      <c r="C147" s="537" t="s">
        <v>82</v>
      </c>
      <c r="D147" s="537"/>
      <c r="E147" s="537"/>
      <c r="F147" s="537"/>
      <c r="G147" s="537"/>
      <c r="H147" s="537"/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3" t="e">
        <f>VLOOKUP("00-00039240",'Выгрузка из 1С'!$A:$C,3,FALSE)</f>
        <v>#N/A</v>
      </c>
      <c r="AO147" s="533"/>
      <c r="AP147" s="533"/>
      <c r="AQ147" s="533"/>
      <c r="AR147" s="533"/>
      <c r="AS147" s="533"/>
      <c r="AX147" s="186"/>
    </row>
    <row r="148" spans="1:50" s="36" customFormat="1" ht="13.5" customHeight="1" x14ac:dyDescent="0.25">
      <c r="A148" s="173"/>
      <c r="B148" s="5"/>
      <c r="C148" s="544" t="s">
        <v>79</v>
      </c>
      <c r="D148" s="544"/>
      <c r="E148" s="544"/>
      <c r="F148" s="544"/>
      <c r="G148" s="544"/>
      <c r="H148" s="544"/>
      <c r="I148" s="544"/>
      <c r="J148" s="544"/>
      <c r="K148" s="544"/>
      <c r="L148" s="544"/>
      <c r="M148" s="544"/>
      <c r="N148" s="544"/>
      <c r="O148" s="544"/>
      <c r="P148" s="544"/>
      <c r="Q148" s="544"/>
      <c r="R148" s="544"/>
      <c r="S148" s="544"/>
      <c r="T148" s="544"/>
      <c r="U148" s="544"/>
      <c r="V148" s="544"/>
      <c r="W148" s="544"/>
      <c r="X148" s="544"/>
      <c r="Y148" s="544"/>
      <c r="Z148" s="544"/>
      <c r="AA148" s="544"/>
      <c r="AB148" s="544"/>
      <c r="AC148" s="544"/>
      <c r="AD148" s="544"/>
      <c r="AE148" s="544"/>
      <c r="AF148" s="544"/>
      <c r="AG148" s="544"/>
      <c r="AH148" s="544"/>
      <c r="AI148" s="544"/>
      <c r="AJ148" s="544"/>
      <c r="AK148" s="544"/>
      <c r="AL148" s="544"/>
      <c r="AM148" s="544"/>
      <c r="AN148" s="544"/>
      <c r="AO148" s="544"/>
      <c r="AP148" s="544"/>
      <c r="AQ148" s="544"/>
      <c r="AR148" s="544"/>
      <c r="AS148" s="544"/>
      <c r="AX148" s="186"/>
    </row>
    <row r="149" spans="1:50" s="36" customFormat="1" ht="14.25" customHeight="1" x14ac:dyDescent="0.25">
      <c r="A149" s="173"/>
      <c r="B149" s="5"/>
      <c r="C149" s="537" t="s">
        <v>83</v>
      </c>
      <c r="D149" s="537"/>
      <c r="E149" s="537"/>
      <c r="F149" s="537"/>
      <c r="G149" s="537"/>
      <c r="H149" s="537"/>
      <c r="I149" s="537"/>
      <c r="J149" s="537"/>
      <c r="K149" s="537"/>
      <c r="L149" s="537"/>
      <c r="M149" s="537"/>
      <c r="N149" s="537"/>
      <c r="O149" s="537"/>
      <c r="P149" s="537"/>
      <c r="Q149" s="537"/>
      <c r="R149" s="537"/>
      <c r="S149" s="537"/>
      <c r="T149" s="537"/>
      <c r="U149" s="537"/>
      <c r="V149" s="537"/>
      <c r="W149" s="537"/>
      <c r="X149" s="537"/>
      <c r="Y149" s="537"/>
      <c r="Z149" s="537"/>
      <c r="AA149" s="537"/>
      <c r="AB149" s="537"/>
      <c r="AC149" s="537"/>
      <c r="AD149" s="537"/>
      <c r="AE149" s="537"/>
      <c r="AF149" s="537"/>
      <c r="AG149" s="537"/>
      <c r="AH149" s="537"/>
      <c r="AI149" s="537"/>
      <c r="AJ149" s="537"/>
      <c r="AK149" s="537"/>
      <c r="AL149" s="537"/>
      <c r="AM149" s="537"/>
      <c r="AN149" s="533" t="e">
        <f>VLOOKUP("",'Выгрузка из 1С'!$A:$C,3,FALSE)</f>
        <v>#N/A</v>
      </c>
      <c r="AO149" s="533"/>
      <c r="AP149" s="533"/>
      <c r="AQ149" s="533"/>
      <c r="AR149" s="533"/>
      <c r="AS149" s="533"/>
      <c r="AX149" s="186"/>
    </row>
    <row r="150" spans="1:50" s="36" customFormat="1" ht="13.5" customHeight="1" x14ac:dyDescent="0.25">
      <c r="A150" s="311"/>
      <c r="B150" s="5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6"/>
      <c r="AR150" s="6"/>
      <c r="AS150" s="6"/>
      <c r="AX150" s="186"/>
    </row>
    <row r="151" spans="1:50" s="36" customFormat="1" ht="13.5" customHeight="1" x14ac:dyDescent="0.25">
      <c r="A151" s="311"/>
      <c r="B151" s="5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6"/>
      <c r="AR151" s="6"/>
      <c r="AS151" s="6"/>
      <c r="AX151" s="186"/>
    </row>
    <row r="152" spans="1:50" s="190" customFormat="1" ht="13.5" customHeight="1" x14ac:dyDescent="0.25">
      <c r="A152" s="10"/>
      <c r="B152" s="11"/>
      <c r="C152" s="49" t="s">
        <v>69</v>
      </c>
      <c r="D152" s="8"/>
      <c r="E152" s="8"/>
      <c r="F152" s="8"/>
      <c r="G152" s="8"/>
      <c r="H152" s="8"/>
      <c r="I152" s="8"/>
      <c r="J152" s="8"/>
      <c r="K152" s="8"/>
      <c r="L152" s="8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12"/>
      <c r="AR152" s="12"/>
      <c r="AS152" s="12"/>
    </row>
    <row r="153" spans="1:50" s="36" customFormat="1" ht="13.5" customHeight="1" x14ac:dyDescent="0.25">
      <c r="A153" s="536"/>
      <c r="B153" s="5"/>
      <c r="C153" s="440" t="s">
        <v>80</v>
      </c>
      <c r="D153" s="375"/>
      <c r="E153" s="375"/>
      <c r="F153" s="375"/>
      <c r="G153" s="375"/>
      <c r="H153" s="375"/>
      <c r="I153" s="375"/>
      <c r="J153" s="375"/>
      <c r="K153" s="375"/>
      <c r="L153" s="375"/>
      <c r="M153" s="375" t="s">
        <v>161</v>
      </c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  <c r="AH153" s="375"/>
      <c r="AI153" s="375"/>
      <c r="AJ153" s="375"/>
      <c r="AK153" s="375"/>
      <c r="AL153" s="375"/>
      <c r="AM153" s="375"/>
      <c r="AN153" s="542" t="s">
        <v>907</v>
      </c>
      <c r="AO153" s="462"/>
      <c r="AP153" s="462"/>
      <c r="AQ153" s="462"/>
      <c r="AR153" s="462"/>
      <c r="AS153" s="462"/>
      <c r="AX153" s="186"/>
    </row>
    <row r="154" spans="1:50" s="36" customFormat="1" ht="41.25" customHeight="1" x14ac:dyDescent="0.25">
      <c r="A154" s="536"/>
      <c r="B154" s="5"/>
      <c r="C154" s="539" t="s">
        <v>84</v>
      </c>
      <c r="D154" s="539"/>
      <c r="E154" s="539"/>
      <c r="F154" s="539"/>
      <c r="G154" s="539"/>
      <c r="H154" s="539"/>
      <c r="I154" s="539"/>
      <c r="J154" s="539"/>
      <c r="K154" s="539"/>
      <c r="L154" s="539"/>
      <c r="M154" s="539" t="s">
        <v>167</v>
      </c>
      <c r="N154" s="539"/>
      <c r="O154" s="539"/>
      <c r="P154" s="539"/>
      <c r="Q154" s="539"/>
      <c r="R154" s="539"/>
      <c r="S154" s="539"/>
      <c r="T154" s="539"/>
      <c r="U154" s="539"/>
      <c r="V154" s="539"/>
      <c r="W154" s="539"/>
      <c r="X154" s="539"/>
      <c r="Y154" s="539"/>
      <c r="Z154" s="539"/>
      <c r="AA154" s="539"/>
      <c r="AB154" s="539"/>
      <c r="AC154" s="539"/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41">
        <f>VLOOKUP("УТ-00041778",'Выгрузка из 1С'!$B$4:$K$1988,10,FALSE)</f>
        <v>23400</v>
      </c>
      <c r="AO154" s="542"/>
      <c r="AP154" s="542"/>
      <c r="AQ154" s="542"/>
      <c r="AR154" s="542"/>
      <c r="AS154" s="542"/>
      <c r="AX154" s="186"/>
    </row>
    <row r="155" spans="1:50" s="36" customFormat="1" ht="40.5" customHeight="1" x14ac:dyDescent="0.25">
      <c r="A155" s="536"/>
      <c r="B155" s="5"/>
      <c r="C155" s="539" t="s">
        <v>85</v>
      </c>
      <c r="D155" s="539"/>
      <c r="E155" s="539"/>
      <c r="F155" s="539"/>
      <c r="G155" s="539"/>
      <c r="H155" s="539"/>
      <c r="I155" s="539"/>
      <c r="J155" s="539"/>
      <c r="K155" s="539"/>
      <c r="L155" s="539"/>
      <c r="M155" s="540" t="s">
        <v>251</v>
      </c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  <c r="AA155" s="540"/>
      <c r="AB155" s="540"/>
      <c r="AC155" s="540"/>
      <c r="AD155" s="540"/>
      <c r="AE155" s="540"/>
      <c r="AF155" s="540"/>
      <c r="AG155" s="540"/>
      <c r="AH155" s="540"/>
      <c r="AI155" s="540"/>
      <c r="AJ155" s="540"/>
      <c r="AK155" s="540"/>
      <c r="AL155" s="540"/>
      <c r="AM155" s="540"/>
      <c r="AN155" s="541">
        <f>VLOOKUP("УТ-00041779",'Выгрузка из 1С'!$B$4:$K$1988,10,FALSE)</f>
        <v>24600</v>
      </c>
      <c r="AO155" s="542"/>
      <c r="AP155" s="542"/>
      <c r="AQ155" s="542"/>
      <c r="AR155" s="542"/>
      <c r="AS155" s="542"/>
      <c r="AX155" s="186"/>
    </row>
    <row r="156" spans="1:50" s="36" customFormat="1" ht="40.5" customHeight="1" x14ac:dyDescent="0.25">
      <c r="A156" s="536"/>
      <c r="B156" s="5"/>
      <c r="C156" s="539" t="s">
        <v>86</v>
      </c>
      <c r="D156" s="539"/>
      <c r="E156" s="539"/>
      <c r="F156" s="539"/>
      <c r="G156" s="539"/>
      <c r="H156" s="539"/>
      <c r="I156" s="539"/>
      <c r="J156" s="539"/>
      <c r="K156" s="539"/>
      <c r="L156" s="539"/>
      <c r="M156" s="543" t="s">
        <v>252</v>
      </c>
      <c r="N156" s="543"/>
      <c r="O156" s="543"/>
      <c r="P156" s="543"/>
      <c r="Q156" s="543"/>
      <c r="R156" s="543"/>
      <c r="S156" s="543"/>
      <c r="T156" s="543"/>
      <c r="U156" s="543"/>
      <c r="V156" s="543"/>
      <c r="W156" s="543"/>
      <c r="X156" s="543"/>
      <c r="Y156" s="543"/>
      <c r="Z156" s="543"/>
      <c r="AA156" s="543"/>
      <c r="AB156" s="543"/>
      <c r="AC156" s="543"/>
      <c r="AD156" s="543"/>
      <c r="AE156" s="543"/>
      <c r="AF156" s="543"/>
      <c r="AG156" s="543"/>
      <c r="AH156" s="543"/>
      <c r="AI156" s="543"/>
      <c r="AJ156" s="543"/>
      <c r="AK156" s="543"/>
      <c r="AL156" s="543"/>
      <c r="AM156" s="543"/>
      <c r="AN156" s="541">
        <f>VLOOKUP("УТ-00041776",'Выгрузка из 1С'!$B$4:$K$1988,10,FALSE)</f>
        <v>23400</v>
      </c>
      <c r="AO156" s="542"/>
      <c r="AP156" s="542"/>
      <c r="AQ156" s="542"/>
      <c r="AR156" s="542"/>
      <c r="AS156" s="542"/>
      <c r="AX156" s="186"/>
    </row>
    <row r="157" spans="1:50" s="36" customFormat="1" ht="39.75" customHeight="1" x14ac:dyDescent="0.25">
      <c r="A157" s="536"/>
      <c r="B157" s="5"/>
      <c r="C157" s="539" t="s">
        <v>87</v>
      </c>
      <c r="D157" s="539"/>
      <c r="E157" s="539"/>
      <c r="F157" s="539"/>
      <c r="G157" s="539"/>
      <c r="H157" s="539"/>
      <c r="I157" s="539"/>
      <c r="J157" s="539"/>
      <c r="K157" s="539"/>
      <c r="L157" s="539"/>
      <c r="M157" s="540" t="s">
        <v>253</v>
      </c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  <c r="AA157" s="540"/>
      <c r="AB157" s="540"/>
      <c r="AC157" s="540"/>
      <c r="AD157" s="540"/>
      <c r="AE157" s="540"/>
      <c r="AF157" s="540"/>
      <c r="AG157" s="540"/>
      <c r="AH157" s="540"/>
      <c r="AI157" s="540"/>
      <c r="AJ157" s="540"/>
      <c r="AK157" s="540"/>
      <c r="AL157" s="540"/>
      <c r="AM157" s="540"/>
      <c r="AN157" s="541">
        <f>VLOOKUP("УТ-00041777",'Выгрузка из 1С'!$B$4:$K$1988,10,FALSE)</f>
        <v>24600</v>
      </c>
      <c r="AO157" s="542"/>
      <c r="AP157" s="542"/>
      <c r="AQ157" s="542"/>
      <c r="AR157" s="542"/>
      <c r="AS157" s="542"/>
      <c r="AX157" s="186"/>
    </row>
    <row r="158" spans="1:50" s="36" customFormat="1" ht="42.75" customHeight="1" x14ac:dyDescent="0.25">
      <c r="A158" s="536"/>
      <c r="B158" s="5"/>
      <c r="C158" s="539" t="s">
        <v>88</v>
      </c>
      <c r="D158" s="539"/>
      <c r="E158" s="539"/>
      <c r="F158" s="539"/>
      <c r="G158" s="539"/>
      <c r="H158" s="539"/>
      <c r="I158" s="539"/>
      <c r="J158" s="539"/>
      <c r="K158" s="539"/>
      <c r="L158" s="539"/>
      <c r="M158" s="543" t="s">
        <v>254</v>
      </c>
      <c r="N158" s="543"/>
      <c r="O158" s="543"/>
      <c r="P158" s="543"/>
      <c r="Q158" s="543"/>
      <c r="R158" s="543"/>
      <c r="S158" s="543"/>
      <c r="T158" s="543"/>
      <c r="U158" s="543"/>
      <c r="V158" s="543"/>
      <c r="W158" s="543"/>
      <c r="X158" s="543"/>
      <c r="Y158" s="543"/>
      <c r="Z158" s="543"/>
      <c r="AA158" s="543"/>
      <c r="AB158" s="543"/>
      <c r="AC158" s="543"/>
      <c r="AD158" s="543"/>
      <c r="AE158" s="543"/>
      <c r="AF158" s="543"/>
      <c r="AG158" s="543"/>
      <c r="AH158" s="543"/>
      <c r="AI158" s="543"/>
      <c r="AJ158" s="543"/>
      <c r="AK158" s="543"/>
      <c r="AL158" s="543"/>
      <c r="AM158" s="543"/>
      <c r="AN158" s="541">
        <f>VLOOKUP("УТ-00041775",'Выгрузка из 1С'!$B$4:$K$1988,10,FALSE)</f>
        <v>0</v>
      </c>
      <c r="AO158" s="542"/>
      <c r="AP158" s="542"/>
      <c r="AQ158" s="542"/>
      <c r="AR158" s="542"/>
      <c r="AS158" s="542"/>
      <c r="AX158" s="186"/>
    </row>
    <row r="159" spans="1:50" s="36" customFormat="1" ht="13.5" customHeight="1" x14ac:dyDescent="0.25">
      <c r="A159" s="536"/>
      <c r="B159" s="5"/>
      <c r="C159" s="543" t="s">
        <v>96</v>
      </c>
      <c r="D159" s="543"/>
      <c r="E159" s="543"/>
      <c r="F159" s="543"/>
      <c r="G159" s="543"/>
      <c r="H159" s="543"/>
      <c r="I159" s="543"/>
      <c r="J159" s="543"/>
      <c r="K159" s="543"/>
      <c r="L159" s="543"/>
      <c r="M159" s="543"/>
      <c r="N159" s="543"/>
      <c r="O159" s="543"/>
      <c r="P159" s="543"/>
      <c r="Q159" s="543"/>
      <c r="R159" s="543"/>
      <c r="S159" s="543"/>
      <c r="T159" s="543"/>
      <c r="U159" s="543"/>
      <c r="V159" s="543"/>
      <c r="W159" s="543"/>
      <c r="X159" s="543"/>
      <c r="Y159" s="543"/>
      <c r="Z159" s="543"/>
      <c r="AA159" s="543"/>
      <c r="AB159" s="543"/>
      <c r="AC159" s="543"/>
      <c r="AD159" s="543"/>
      <c r="AE159" s="543"/>
      <c r="AF159" s="543"/>
      <c r="AG159" s="543"/>
      <c r="AH159" s="543"/>
      <c r="AI159" s="543"/>
      <c r="AJ159" s="543"/>
      <c r="AK159" s="543"/>
      <c r="AL159" s="543"/>
      <c r="AM159" s="543"/>
      <c r="AN159" s="541">
        <f>VLOOKUP("УТ-00099862",'Выгрузка из 1С'!$B$4:$K$1988,10,FALSE)</f>
        <v>3600</v>
      </c>
      <c r="AO159" s="542"/>
      <c r="AP159" s="542"/>
      <c r="AQ159" s="542"/>
      <c r="AR159" s="542"/>
      <c r="AS159" s="542"/>
      <c r="AX159" s="186"/>
    </row>
    <row r="160" spans="1:50" s="36" customFormat="1" ht="13.5" customHeight="1" x14ac:dyDescent="0.25">
      <c r="A160" s="536"/>
      <c r="B160" s="5"/>
      <c r="C160" s="543" t="s">
        <v>95</v>
      </c>
      <c r="D160" s="543"/>
      <c r="E160" s="543"/>
      <c r="F160" s="543"/>
      <c r="G160" s="543"/>
      <c r="H160" s="543"/>
      <c r="I160" s="543"/>
      <c r="J160" s="543"/>
      <c r="K160" s="543"/>
      <c r="L160" s="543"/>
      <c r="M160" s="543"/>
      <c r="N160" s="543"/>
      <c r="O160" s="543"/>
      <c r="P160" s="543"/>
      <c r="Q160" s="543"/>
      <c r="R160" s="543"/>
      <c r="S160" s="543"/>
      <c r="T160" s="543"/>
      <c r="U160" s="543"/>
      <c r="V160" s="543"/>
      <c r="W160" s="543"/>
      <c r="X160" s="543"/>
      <c r="Y160" s="543"/>
      <c r="Z160" s="543"/>
      <c r="AA160" s="543"/>
      <c r="AB160" s="543"/>
      <c r="AC160" s="543"/>
      <c r="AD160" s="543"/>
      <c r="AE160" s="543"/>
      <c r="AF160" s="543"/>
      <c r="AG160" s="543"/>
      <c r="AH160" s="543"/>
      <c r="AI160" s="543"/>
      <c r="AJ160" s="543"/>
      <c r="AK160" s="543"/>
      <c r="AL160" s="543"/>
      <c r="AM160" s="543"/>
      <c r="AN160" s="541" t="e">
        <f>VLOOKUP("",'Выгрузка из 1С'!$B$4:$K$1988,10,FALSE)</f>
        <v>#N/A</v>
      </c>
      <c r="AO160" s="542"/>
      <c r="AP160" s="542"/>
      <c r="AQ160" s="542"/>
      <c r="AR160" s="542"/>
      <c r="AS160" s="542"/>
      <c r="AX160" s="186"/>
    </row>
    <row r="161" spans="1:50" s="36" customFormat="1" ht="13.5" customHeight="1" x14ac:dyDescent="0.25">
      <c r="A161" s="536"/>
      <c r="B161" s="5"/>
      <c r="C161" s="543" t="s">
        <v>94</v>
      </c>
      <c r="D161" s="543"/>
      <c r="E161" s="543"/>
      <c r="F161" s="543"/>
      <c r="G161" s="543"/>
      <c r="H161" s="543"/>
      <c r="I161" s="543"/>
      <c r="J161" s="543"/>
      <c r="K161" s="543"/>
      <c r="L161" s="543"/>
      <c r="M161" s="543"/>
      <c r="N161" s="543"/>
      <c r="O161" s="543"/>
      <c r="P161" s="543"/>
      <c r="Q161" s="543"/>
      <c r="R161" s="543"/>
      <c r="S161" s="543"/>
      <c r="T161" s="543"/>
      <c r="U161" s="543"/>
      <c r="V161" s="543"/>
      <c r="W161" s="543"/>
      <c r="X161" s="543"/>
      <c r="Y161" s="543"/>
      <c r="Z161" s="543"/>
      <c r="AA161" s="543"/>
      <c r="AB161" s="543"/>
      <c r="AC161" s="543"/>
      <c r="AD161" s="543"/>
      <c r="AE161" s="543"/>
      <c r="AF161" s="543"/>
      <c r="AG161" s="543"/>
      <c r="AH161" s="543"/>
      <c r="AI161" s="543"/>
      <c r="AJ161" s="543"/>
      <c r="AK161" s="543"/>
      <c r="AL161" s="543"/>
      <c r="AM161" s="543"/>
      <c r="AN161" s="541" t="e">
        <f>VLOOKUP("УТ-00042032",'Выгрузка из 1С'!$B$4:$K$1988,10,FALSE)</f>
        <v>#N/A</v>
      </c>
      <c r="AO161" s="542"/>
      <c r="AP161" s="542"/>
      <c r="AQ161" s="542"/>
      <c r="AR161" s="542"/>
      <c r="AS161" s="542"/>
      <c r="AX161" s="186"/>
    </row>
    <row r="162" spans="1:50" s="36" customFormat="1" ht="13.5" customHeight="1" x14ac:dyDescent="0.25">
      <c r="A162" s="536"/>
      <c r="B162" s="5"/>
      <c r="C162" s="543" t="s">
        <v>93</v>
      </c>
      <c r="D162" s="543"/>
      <c r="E162" s="543"/>
      <c r="F162" s="543"/>
      <c r="G162" s="543"/>
      <c r="H162" s="543"/>
      <c r="I162" s="543"/>
      <c r="J162" s="543"/>
      <c r="K162" s="543"/>
      <c r="L162" s="543"/>
      <c r="M162" s="543"/>
      <c r="N162" s="543"/>
      <c r="O162" s="543"/>
      <c r="P162" s="543"/>
      <c r="Q162" s="543"/>
      <c r="R162" s="543"/>
      <c r="S162" s="543"/>
      <c r="T162" s="543"/>
      <c r="U162" s="543"/>
      <c r="V162" s="543"/>
      <c r="W162" s="543"/>
      <c r="X162" s="543"/>
      <c r="Y162" s="543"/>
      <c r="Z162" s="543"/>
      <c r="AA162" s="543"/>
      <c r="AB162" s="543"/>
      <c r="AC162" s="543"/>
      <c r="AD162" s="543"/>
      <c r="AE162" s="543"/>
      <c r="AF162" s="543"/>
      <c r="AG162" s="543"/>
      <c r="AH162" s="543"/>
      <c r="AI162" s="543"/>
      <c r="AJ162" s="543"/>
      <c r="AK162" s="543"/>
      <c r="AL162" s="543"/>
      <c r="AM162" s="543"/>
      <c r="AN162" s="541" t="e">
        <f>VLOOKUP("УТ-00096843",'Выгрузка из 1С'!$B$4:$K$1988,10,FALSE)</f>
        <v>#N/A</v>
      </c>
      <c r="AO162" s="542"/>
      <c r="AP162" s="542"/>
      <c r="AQ162" s="542"/>
      <c r="AR162" s="542"/>
      <c r="AS162" s="542"/>
      <c r="AX162" s="186"/>
    </row>
    <row r="163" spans="1:50" s="36" customFormat="1" ht="13.5" customHeight="1" x14ac:dyDescent="0.25">
      <c r="A163" s="536"/>
      <c r="B163" s="5"/>
      <c r="C163" s="543" t="s">
        <v>92</v>
      </c>
      <c r="D163" s="543"/>
      <c r="E163" s="543"/>
      <c r="F163" s="543"/>
      <c r="G163" s="543"/>
      <c r="H163" s="543"/>
      <c r="I163" s="543"/>
      <c r="J163" s="543"/>
      <c r="K163" s="543"/>
      <c r="L163" s="543"/>
      <c r="M163" s="543"/>
      <c r="N163" s="543"/>
      <c r="O163" s="543"/>
      <c r="P163" s="543"/>
      <c r="Q163" s="543"/>
      <c r="R163" s="543"/>
      <c r="S163" s="543"/>
      <c r="T163" s="543"/>
      <c r="U163" s="543"/>
      <c r="V163" s="543"/>
      <c r="W163" s="543"/>
      <c r="X163" s="543"/>
      <c r="Y163" s="543"/>
      <c r="Z163" s="543"/>
      <c r="AA163" s="543"/>
      <c r="AB163" s="543"/>
      <c r="AC163" s="543"/>
      <c r="AD163" s="543"/>
      <c r="AE163" s="543"/>
      <c r="AF163" s="543"/>
      <c r="AG163" s="543"/>
      <c r="AH163" s="543"/>
      <c r="AI163" s="543"/>
      <c r="AJ163" s="543"/>
      <c r="AK163" s="543"/>
      <c r="AL163" s="543"/>
      <c r="AM163" s="543"/>
      <c r="AN163" s="542" t="e">
        <f>VLOOKUP("УТ-00096854",'Выгрузка из 1С'!$B$4:$K$1988,10,FALSE)</f>
        <v>#N/A</v>
      </c>
      <c r="AO163" s="542"/>
      <c r="AP163" s="542"/>
      <c r="AQ163" s="542"/>
      <c r="AR163" s="542"/>
      <c r="AS163" s="542"/>
      <c r="AX163" s="186"/>
    </row>
    <row r="164" spans="1:50" s="36" customFormat="1" ht="13.5" customHeight="1" x14ac:dyDescent="0.25">
      <c r="A164" s="536"/>
      <c r="B164" s="5"/>
      <c r="C164" s="543" t="s">
        <v>91</v>
      </c>
      <c r="D164" s="543"/>
      <c r="E164" s="543"/>
      <c r="F164" s="543"/>
      <c r="G164" s="543"/>
      <c r="H164" s="543"/>
      <c r="I164" s="543"/>
      <c r="J164" s="543"/>
      <c r="K164" s="543"/>
      <c r="L164" s="543"/>
      <c r="M164" s="543"/>
      <c r="N164" s="543"/>
      <c r="O164" s="543"/>
      <c r="P164" s="543"/>
      <c r="Q164" s="543"/>
      <c r="R164" s="543"/>
      <c r="S164" s="543"/>
      <c r="T164" s="543"/>
      <c r="U164" s="543"/>
      <c r="V164" s="543"/>
      <c r="W164" s="543"/>
      <c r="X164" s="543"/>
      <c r="Y164" s="543"/>
      <c r="Z164" s="543"/>
      <c r="AA164" s="543"/>
      <c r="AB164" s="543"/>
      <c r="AC164" s="543"/>
      <c r="AD164" s="543"/>
      <c r="AE164" s="543"/>
      <c r="AF164" s="543"/>
      <c r="AG164" s="543"/>
      <c r="AH164" s="543"/>
      <c r="AI164" s="543"/>
      <c r="AJ164" s="543"/>
      <c r="AK164" s="543"/>
      <c r="AL164" s="543"/>
      <c r="AM164" s="543"/>
      <c r="AN164" s="541" t="e">
        <f>VLOOKUP("УТ-00096850",'Выгрузка из 1С'!$B$4:$K$1988,10,FALSE)</f>
        <v>#N/A</v>
      </c>
      <c r="AO164" s="542"/>
      <c r="AP164" s="542"/>
      <c r="AQ164" s="542"/>
      <c r="AR164" s="542"/>
      <c r="AS164" s="542"/>
      <c r="AX164" s="186"/>
    </row>
    <row r="165" spans="1:50" s="36" customFormat="1" ht="13.5" customHeight="1" x14ac:dyDescent="0.25">
      <c r="A165" s="536"/>
      <c r="B165" s="5"/>
      <c r="C165" s="543" t="s">
        <v>90</v>
      </c>
      <c r="D165" s="543"/>
      <c r="E165" s="543"/>
      <c r="F165" s="543"/>
      <c r="G165" s="543"/>
      <c r="H165" s="543"/>
      <c r="I165" s="543"/>
      <c r="J165" s="543"/>
      <c r="K165" s="543"/>
      <c r="L165" s="543"/>
      <c r="M165" s="543"/>
      <c r="N165" s="543"/>
      <c r="O165" s="543"/>
      <c r="P165" s="543"/>
      <c r="Q165" s="543"/>
      <c r="R165" s="543"/>
      <c r="S165" s="543"/>
      <c r="T165" s="543"/>
      <c r="U165" s="543"/>
      <c r="V165" s="543"/>
      <c r="W165" s="543"/>
      <c r="X165" s="543"/>
      <c r="Y165" s="543"/>
      <c r="Z165" s="543"/>
      <c r="AA165" s="543"/>
      <c r="AB165" s="543"/>
      <c r="AC165" s="543"/>
      <c r="AD165" s="543"/>
      <c r="AE165" s="543"/>
      <c r="AF165" s="543"/>
      <c r="AG165" s="543"/>
      <c r="AH165" s="543"/>
      <c r="AI165" s="543"/>
      <c r="AJ165" s="543"/>
      <c r="AK165" s="543"/>
      <c r="AL165" s="543"/>
      <c r="AM165" s="543"/>
      <c r="AN165" s="541" t="e">
        <f>VLOOKUP("УТ-00096851",'Выгрузка из 1С'!$B$4:$K$1988,10,FALSE)</f>
        <v>#N/A</v>
      </c>
      <c r="AO165" s="542"/>
      <c r="AP165" s="542"/>
      <c r="AQ165" s="542"/>
      <c r="AR165" s="542"/>
      <c r="AS165" s="542"/>
      <c r="AX165" s="186"/>
    </row>
    <row r="166" spans="1:50" s="36" customFormat="1" ht="13.5" customHeight="1" x14ac:dyDescent="0.25">
      <c r="A166" s="536"/>
      <c r="B166" s="5"/>
      <c r="C166" s="543" t="s">
        <v>271</v>
      </c>
      <c r="D166" s="543"/>
      <c r="E166" s="543"/>
      <c r="F166" s="543"/>
      <c r="G166" s="543"/>
      <c r="H166" s="543"/>
      <c r="I166" s="543"/>
      <c r="J166" s="543"/>
      <c r="K166" s="543"/>
      <c r="L166" s="543"/>
      <c r="M166" s="543"/>
      <c r="N166" s="543"/>
      <c r="O166" s="543"/>
      <c r="P166" s="543"/>
      <c r="Q166" s="543"/>
      <c r="R166" s="543"/>
      <c r="S166" s="543"/>
      <c r="T166" s="543"/>
      <c r="U166" s="543"/>
      <c r="V166" s="543"/>
      <c r="W166" s="543"/>
      <c r="X166" s="543"/>
      <c r="Y166" s="543"/>
      <c r="Z166" s="543"/>
      <c r="AA166" s="543"/>
      <c r="AB166" s="543"/>
      <c r="AC166" s="543"/>
      <c r="AD166" s="543"/>
      <c r="AE166" s="543"/>
      <c r="AF166" s="543"/>
      <c r="AG166" s="543"/>
      <c r="AH166" s="543"/>
      <c r="AI166" s="543"/>
      <c r="AJ166" s="543"/>
      <c r="AK166" s="543"/>
      <c r="AL166" s="543"/>
      <c r="AM166" s="543"/>
      <c r="AN166" s="541" t="e">
        <f>VLOOKUP("УТ-00096852",'Выгрузка из 1С'!$B$4:$K$1988,10,FALSE)</f>
        <v>#N/A</v>
      </c>
      <c r="AO166" s="542"/>
      <c r="AP166" s="542"/>
      <c r="AQ166" s="542"/>
      <c r="AR166" s="542"/>
      <c r="AS166" s="542"/>
      <c r="AX166" s="186"/>
    </row>
    <row r="167" spans="1:50" s="36" customFormat="1" ht="13.5" customHeight="1" x14ac:dyDescent="0.25">
      <c r="A167" s="536"/>
      <c r="B167" s="5"/>
      <c r="C167" s="543" t="s">
        <v>89</v>
      </c>
      <c r="D167" s="543"/>
      <c r="E167" s="543"/>
      <c r="F167" s="543"/>
      <c r="G167" s="543"/>
      <c r="H167" s="543"/>
      <c r="I167" s="543"/>
      <c r="J167" s="543"/>
      <c r="K167" s="543"/>
      <c r="L167" s="543"/>
      <c r="M167" s="543"/>
      <c r="N167" s="543"/>
      <c r="O167" s="543"/>
      <c r="P167" s="543"/>
      <c r="Q167" s="543"/>
      <c r="R167" s="543"/>
      <c r="S167" s="543"/>
      <c r="T167" s="543"/>
      <c r="U167" s="543"/>
      <c r="V167" s="543"/>
      <c r="W167" s="543"/>
      <c r="X167" s="543"/>
      <c r="Y167" s="543"/>
      <c r="Z167" s="543"/>
      <c r="AA167" s="543"/>
      <c r="AB167" s="543"/>
      <c r="AC167" s="543"/>
      <c r="AD167" s="543"/>
      <c r="AE167" s="543"/>
      <c r="AF167" s="543"/>
      <c r="AG167" s="543"/>
      <c r="AH167" s="543"/>
      <c r="AI167" s="543"/>
      <c r="AJ167" s="543"/>
      <c r="AK167" s="543"/>
      <c r="AL167" s="543"/>
      <c r="AM167" s="543"/>
      <c r="AN167" s="542" t="e">
        <f>VLOOKUP("",'Выгрузка из 1С'!$B$4:$K$1988,10,FALSE)</f>
        <v>#N/A</v>
      </c>
      <c r="AO167" s="542"/>
      <c r="AP167" s="542"/>
      <c r="AQ167" s="542"/>
      <c r="AR167" s="542"/>
      <c r="AS167" s="542"/>
      <c r="AX167" s="186"/>
    </row>
    <row r="168" spans="1:50" s="36" customFormat="1" ht="13.5" customHeight="1" x14ac:dyDescent="0.25">
      <c r="A168" s="173"/>
      <c r="B168" s="5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6"/>
      <c r="AR168" s="6"/>
      <c r="AS168" s="6"/>
      <c r="AX168" s="186"/>
    </row>
    <row r="169" spans="1:50" s="36" customFormat="1" ht="13.5" customHeight="1" x14ac:dyDescent="0.25">
      <c r="A169" s="311"/>
      <c r="B169" s="5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6"/>
      <c r="AR169" s="6"/>
      <c r="AS169" s="6"/>
      <c r="AX169" s="186"/>
    </row>
    <row r="170" spans="1:50" s="36" customFormat="1" ht="13.5" customHeight="1" x14ac:dyDescent="0.25">
      <c r="A170" s="173"/>
      <c r="B170" s="5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6"/>
      <c r="AR170" s="6"/>
      <c r="AS170" s="6"/>
    </row>
    <row r="171" spans="1:50" s="111" customFormat="1" ht="14.25" customHeight="1" x14ac:dyDescent="0.25">
      <c r="A171" s="10"/>
      <c r="B171" s="11"/>
      <c r="C171" s="192" t="s">
        <v>244</v>
      </c>
      <c r="D171" s="11"/>
      <c r="E171" s="11"/>
      <c r="F171" s="11"/>
      <c r="G171" s="11"/>
      <c r="H171" s="11"/>
      <c r="I171" s="11"/>
      <c r="J171" s="11"/>
      <c r="K171" s="11"/>
      <c r="L171" s="11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9"/>
      <c r="AR171" s="29"/>
      <c r="AS171" s="29"/>
    </row>
    <row r="172" spans="1:50" s="111" customFormat="1" ht="14.25" customHeight="1" x14ac:dyDescent="0.25">
      <c r="A172" s="14"/>
      <c r="B172" s="15"/>
      <c r="C172" s="193"/>
      <c r="D172" s="15"/>
      <c r="E172" s="15"/>
      <c r="F172" s="15"/>
      <c r="G172" s="15"/>
      <c r="H172" s="15"/>
      <c r="I172" s="15"/>
      <c r="J172" s="15"/>
      <c r="K172" s="15"/>
      <c r="L172" s="15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10"/>
      <c r="AR172" s="110"/>
      <c r="AS172" s="110"/>
    </row>
    <row r="173" spans="1:50" s="33" customFormat="1" x14ac:dyDescent="0.25">
      <c r="A173" s="32"/>
      <c r="B173" s="32"/>
      <c r="C173" s="213" t="s">
        <v>245</v>
      </c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S173" s="214"/>
      <c r="T173" s="214"/>
      <c r="U173" s="214"/>
      <c r="V173" s="214"/>
      <c r="W173" s="214"/>
      <c r="X173" s="214"/>
      <c r="Y173" s="214"/>
      <c r="Z173" s="214"/>
      <c r="AA173" s="214"/>
      <c r="AB173" s="214"/>
      <c r="AC173" s="214"/>
      <c r="AD173" s="214"/>
      <c r="AE173" s="214"/>
      <c r="AF173" s="214"/>
      <c r="AG173" s="214"/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5"/>
    </row>
    <row r="174" spans="1:50" s="1" customFormat="1" ht="14.25" customHeight="1" x14ac:dyDescent="0.25">
      <c r="A174" s="18"/>
      <c r="B174" s="61"/>
      <c r="C174" s="549" t="s">
        <v>80</v>
      </c>
      <c r="D174" s="549"/>
      <c r="E174" s="549"/>
      <c r="F174" s="549"/>
      <c r="G174" s="549"/>
      <c r="H174" s="549"/>
      <c r="I174" s="549"/>
      <c r="J174" s="549"/>
      <c r="K174" s="549"/>
      <c r="L174" s="549"/>
      <c r="M174" s="549" t="s">
        <v>161</v>
      </c>
      <c r="N174" s="549"/>
      <c r="O174" s="549"/>
      <c r="P174" s="549"/>
      <c r="Q174" s="549"/>
      <c r="R174" s="549"/>
      <c r="S174" s="549"/>
      <c r="T174" s="549"/>
      <c r="U174" s="549"/>
      <c r="V174" s="549"/>
      <c r="W174" s="549"/>
      <c r="X174" s="549"/>
      <c r="Y174" s="549"/>
      <c r="Z174" s="549"/>
      <c r="AA174" s="549"/>
      <c r="AB174" s="549"/>
      <c r="AC174" s="549"/>
      <c r="AD174" s="549"/>
      <c r="AE174" s="549"/>
      <c r="AF174" s="549"/>
      <c r="AG174" s="549"/>
      <c r="AH174" s="549"/>
      <c r="AI174" s="549"/>
      <c r="AJ174" s="549"/>
      <c r="AK174" s="549"/>
      <c r="AL174" s="549"/>
      <c r="AM174" s="549"/>
      <c r="AN174" s="532" t="s">
        <v>907</v>
      </c>
      <c r="AO174" s="532"/>
      <c r="AP174" s="532"/>
      <c r="AQ174" s="532"/>
      <c r="AR174" s="532"/>
      <c r="AS174" s="532"/>
    </row>
    <row r="175" spans="1:50" s="1" customFormat="1" ht="14.25" customHeight="1" x14ac:dyDescent="0.25">
      <c r="A175" s="18"/>
      <c r="B175" s="61"/>
      <c r="C175" s="547" t="s">
        <v>229</v>
      </c>
      <c r="D175" s="547"/>
      <c r="E175" s="547"/>
      <c r="F175" s="547"/>
      <c r="G175" s="547"/>
      <c r="H175" s="547"/>
      <c r="I175" s="547"/>
      <c r="J175" s="547"/>
      <c r="K175" s="547"/>
      <c r="L175" s="547"/>
      <c r="M175" s="547" t="s">
        <v>230</v>
      </c>
      <c r="N175" s="547"/>
      <c r="O175" s="547"/>
      <c r="P175" s="547"/>
      <c r="Q175" s="547"/>
      <c r="R175" s="547"/>
      <c r="S175" s="547"/>
      <c r="T175" s="547"/>
      <c r="U175" s="547"/>
      <c r="V175" s="547"/>
      <c r="W175" s="547"/>
      <c r="X175" s="547"/>
      <c r="Y175" s="547"/>
      <c r="Z175" s="547"/>
      <c r="AA175" s="547"/>
      <c r="AB175" s="547"/>
      <c r="AC175" s="547"/>
      <c r="AD175" s="547"/>
      <c r="AE175" s="547"/>
      <c r="AF175" s="547"/>
      <c r="AG175" s="547"/>
      <c r="AH175" s="547"/>
      <c r="AI175" s="547"/>
      <c r="AJ175" s="547"/>
      <c r="AK175" s="547"/>
      <c r="AL175" s="547"/>
      <c r="AM175" s="547"/>
      <c r="AN175" s="541">
        <f>VLOOKUP("УТ-00099445",'Выгрузка из 1С'!$B$4:$K$1988,10,FALSE)</f>
        <v>0</v>
      </c>
      <c r="AO175" s="542"/>
      <c r="AP175" s="542"/>
      <c r="AQ175" s="542"/>
      <c r="AR175" s="542"/>
      <c r="AS175" s="542"/>
    </row>
    <row r="176" spans="1:50" s="1" customFormat="1" ht="14.25" customHeight="1" x14ac:dyDescent="0.25">
      <c r="A176" s="18"/>
      <c r="B176" s="61"/>
      <c r="C176" s="547" t="s">
        <v>225</v>
      </c>
      <c r="D176" s="547"/>
      <c r="E176" s="547"/>
      <c r="F176" s="547"/>
      <c r="G176" s="547"/>
      <c r="H176" s="547"/>
      <c r="I176" s="547"/>
      <c r="J176" s="547"/>
      <c r="K176" s="547"/>
      <c r="L176" s="547"/>
      <c r="M176" s="547" t="s">
        <v>226</v>
      </c>
      <c r="N176" s="547"/>
      <c r="O176" s="547"/>
      <c r="P176" s="547"/>
      <c r="Q176" s="547"/>
      <c r="R176" s="547"/>
      <c r="S176" s="547"/>
      <c r="T176" s="547"/>
      <c r="U176" s="547"/>
      <c r="V176" s="547"/>
      <c r="W176" s="547"/>
      <c r="X176" s="547"/>
      <c r="Y176" s="547"/>
      <c r="Z176" s="547"/>
      <c r="AA176" s="547"/>
      <c r="AB176" s="547"/>
      <c r="AC176" s="547"/>
      <c r="AD176" s="547"/>
      <c r="AE176" s="547"/>
      <c r="AF176" s="547"/>
      <c r="AG176" s="547"/>
      <c r="AH176" s="547"/>
      <c r="AI176" s="547"/>
      <c r="AJ176" s="547"/>
      <c r="AK176" s="547"/>
      <c r="AL176" s="547"/>
      <c r="AM176" s="547"/>
      <c r="AN176" s="541">
        <f>VLOOKUP("00-00034898",'Выгрузка из 1С'!$B$4:$K$1988,10,FALSE)</f>
        <v>0</v>
      </c>
      <c r="AO176" s="542"/>
      <c r="AP176" s="542"/>
      <c r="AQ176" s="542"/>
      <c r="AR176" s="542"/>
      <c r="AS176" s="542"/>
    </row>
    <row r="177" spans="1:45" s="1" customFormat="1" ht="14.25" customHeight="1" x14ac:dyDescent="0.25">
      <c r="A177" s="18"/>
      <c r="B177" s="61"/>
      <c r="C177" s="547" t="s">
        <v>227</v>
      </c>
      <c r="D177" s="547"/>
      <c r="E177" s="547"/>
      <c r="F177" s="547"/>
      <c r="G177" s="547"/>
      <c r="H177" s="547"/>
      <c r="I177" s="547"/>
      <c r="J177" s="547"/>
      <c r="K177" s="547"/>
      <c r="L177" s="547"/>
      <c r="M177" s="547" t="s">
        <v>228</v>
      </c>
      <c r="N177" s="547"/>
      <c r="O177" s="547"/>
      <c r="P177" s="547"/>
      <c r="Q177" s="547"/>
      <c r="R177" s="547"/>
      <c r="S177" s="547"/>
      <c r="T177" s="547"/>
      <c r="U177" s="547"/>
      <c r="V177" s="547"/>
      <c r="W177" s="547"/>
      <c r="X177" s="547"/>
      <c r="Y177" s="547"/>
      <c r="Z177" s="547"/>
      <c r="AA177" s="547"/>
      <c r="AB177" s="547"/>
      <c r="AC177" s="547"/>
      <c r="AD177" s="547"/>
      <c r="AE177" s="547"/>
      <c r="AF177" s="547"/>
      <c r="AG177" s="547"/>
      <c r="AH177" s="547"/>
      <c r="AI177" s="547"/>
      <c r="AJ177" s="547"/>
      <c r="AK177" s="547"/>
      <c r="AL177" s="547"/>
      <c r="AM177" s="547"/>
      <c r="AN177" s="541">
        <f>VLOOKUP("УТ-00042622",'Выгрузка из 1С'!$B$4:$K$1988,10,FALSE)</f>
        <v>0</v>
      </c>
      <c r="AO177" s="542"/>
      <c r="AP177" s="542"/>
      <c r="AQ177" s="542"/>
      <c r="AR177" s="542"/>
      <c r="AS177" s="542"/>
    </row>
    <row r="178" spans="1:45" s="19" customFormat="1" ht="14.25" customHeight="1" x14ac:dyDescent="0.25">
      <c r="A178" s="170"/>
      <c r="B178" s="170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</row>
    <row r="179" spans="1:45" s="34" customFormat="1" x14ac:dyDescent="0.25">
      <c r="A179" s="17"/>
      <c r="B179" s="17"/>
      <c r="C179" s="548" t="s">
        <v>246</v>
      </c>
      <c r="D179" s="548"/>
      <c r="E179" s="548"/>
      <c r="F179" s="548"/>
      <c r="G179" s="548"/>
      <c r="H179" s="548"/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548"/>
      <c r="AB179" s="548"/>
      <c r="AC179" s="548"/>
      <c r="AD179" s="548"/>
      <c r="AE179" s="548"/>
      <c r="AF179" s="548"/>
      <c r="AG179" s="548"/>
      <c r="AH179" s="548"/>
      <c r="AI179" s="548"/>
      <c r="AJ179" s="548"/>
      <c r="AK179" s="548"/>
      <c r="AL179" s="548"/>
      <c r="AM179" s="548"/>
      <c r="AN179" s="548"/>
      <c r="AO179" s="548"/>
      <c r="AP179" s="548"/>
      <c r="AQ179" s="548"/>
      <c r="AR179" s="548"/>
      <c r="AS179" s="548"/>
    </row>
    <row r="180" spans="1:45" s="19" customFormat="1" x14ac:dyDescent="0.25">
      <c r="A180" s="170"/>
      <c r="B180" s="170"/>
      <c r="C180" s="375" t="s">
        <v>80</v>
      </c>
      <c r="D180" s="375"/>
      <c r="E180" s="375"/>
      <c r="F180" s="375"/>
      <c r="G180" s="375"/>
      <c r="H180" s="375"/>
      <c r="I180" s="375"/>
      <c r="J180" s="375"/>
      <c r="K180" s="375"/>
      <c r="L180" s="375"/>
      <c r="M180" s="375" t="s">
        <v>161</v>
      </c>
      <c r="N180" s="375"/>
      <c r="O180" s="375"/>
      <c r="P180" s="375"/>
      <c r="Q180" s="375"/>
      <c r="R180" s="375"/>
      <c r="S180" s="375"/>
      <c r="T180" s="375"/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75"/>
      <c r="AI180" s="375"/>
      <c r="AJ180" s="375"/>
      <c r="AK180" s="375"/>
      <c r="AL180" s="375"/>
      <c r="AM180" s="375"/>
      <c r="AN180" s="462" t="s">
        <v>907</v>
      </c>
      <c r="AO180" s="462"/>
      <c r="AP180" s="462"/>
      <c r="AQ180" s="462"/>
      <c r="AR180" s="462"/>
      <c r="AS180" s="462"/>
    </row>
    <row r="181" spans="1:45" s="19" customFormat="1" x14ac:dyDescent="0.25">
      <c r="A181" s="170"/>
      <c r="B181" s="170"/>
      <c r="C181" s="547" t="s">
        <v>231</v>
      </c>
      <c r="D181" s="547"/>
      <c r="E181" s="547"/>
      <c r="F181" s="547"/>
      <c r="G181" s="547"/>
      <c r="H181" s="547"/>
      <c r="I181" s="547"/>
      <c r="J181" s="547"/>
      <c r="K181" s="547"/>
      <c r="L181" s="547"/>
      <c r="M181" s="547" t="s">
        <v>232</v>
      </c>
      <c r="N181" s="547"/>
      <c r="O181" s="547"/>
      <c r="P181" s="547"/>
      <c r="Q181" s="547"/>
      <c r="R181" s="547"/>
      <c r="S181" s="547"/>
      <c r="T181" s="547"/>
      <c r="U181" s="547"/>
      <c r="V181" s="547"/>
      <c r="W181" s="547"/>
      <c r="X181" s="547"/>
      <c r="Y181" s="547"/>
      <c r="Z181" s="547"/>
      <c r="AA181" s="547"/>
      <c r="AB181" s="547"/>
      <c r="AC181" s="547"/>
      <c r="AD181" s="547"/>
      <c r="AE181" s="547"/>
      <c r="AF181" s="547"/>
      <c r="AG181" s="547"/>
      <c r="AH181" s="547"/>
      <c r="AI181" s="547"/>
      <c r="AJ181" s="547"/>
      <c r="AK181" s="547"/>
      <c r="AL181" s="547"/>
      <c r="AM181" s="547"/>
      <c r="AN181" s="541">
        <f>VLOOKUP("00-00198723",'Выгрузка из 1С'!$B$4:$K$1988,10,FALSE)</f>
        <v>0</v>
      </c>
      <c r="AO181" s="542"/>
      <c r="AP181" s="542"/>
      <c r="AQ181" s="542"/>
      <c r="AR181" s="542"/>
      <c r="AS181" s="542"/>
    </row>
    <row r="182" spans="1:45" s="19" customFormat="1" x14ac:dyDescent="0.25">
      <c r="A182" s="170"/>
      <c r="B182" s="170"/>
      <c r="C182" s="547" t="s">
        <v>233</v>
      </c>
      <c r="D182" s="547"/>
      <c r="E182" s="547"/>
      <c r="F182" s="547"/>
      <c r="G182" s="547"/>
      <c r="H182" s="547"/>
      <c r="I182" s="547"/>
      <c r="J182" s="547"/>
      <c r="K182" s="547"/>
      <c r="L182" s="547"/>
      <c r="M182" s="547" t="s">
        <v>234</v>
      </c>
      <c r="N182" s="547"/>
      <c r="O182" s="547"/>
      <c r="P182" s="547"/>
      <c r="Q182" s="547"/>
      <c r="R182" s="547"/>
      <c r="S182" s="547"/>
      <c r="T182" s="547"/>
      <c r="U182" s="547"/>
      <c r="V182" s="547"/>
      <c r="W182" s="547"/>
      <c r="X182" s="547"/>
      <c r="Y182" s="547"/>
      <c r="Z182" s="547"/>
      <c r="AA182" s="547"/>
      <c r="AB182" s="547"/>
      <c r="AC182" s="547"/>
      <c r="AD182" s="547"/>
      <c r="AE182" s="547"/>
      <c r="AF182" s="547"/>
      <c r="AG182" s="547"/>
      <c r="AH182" s="547"/>
      <c r="AI182" s="547"/>
      <c r="AJ182" s="547"/>
      <c r="AK182" s="547"/>
      <c r="AL182" s="547"/>
      <c r="AM182" s="547"/>
      <c r="AN182" s="541">
        <f>VLOOKUP("УТ-00039490",'Выгрузка из 1С'!$B$4:$K$1988,10,FALSE)</f>
        <v>0</v>
      </c>
      <c r="AO182" s="542"/>
      <c r="AP182" s="542"/>
      <c r="AQ182" s="542"/>
      <c r="AR182" s="542"/>
      <c r="AS182" s="542"/>
    </row>
    <row r="183" spans="1:45" s="19" customFormat="1" x14ac:dyDescent="0.25">
      <c r="A183" s="170"/>
      <c r="B183" s="170"/>
      <c r="C183" s="547" t="s">
        <v>235</v>
      </c>
      <c r="D183" s="547"/>
      <c r="E183" s="547"/>
      <c r="F183" s="547"/>
      <c r="G183" s="547"/>
      <c r="H183" s="547"/>
      <c r="I183" s="547"/>
      <c r="J183" s="547"/>
      <c r="K183" s="547"/>
      <c r="L183" s="547"/>
      <c r="M183" s="547" t="s">
        <v>236</v>
      </c>
      <c r="N183" s="547"/>
      <c r="O183" s="547"/>
      <c r="P183" s="547"/>
      <c r="Q183" s="547"/>
      <c r="R183" s="547"/>
      <c r="S183" s="547"/>
      <c r="T183" s="547"/>
      <c r="U183" s="547"/>
      <c r="V183" s="547"/>
      <c r="W183" s="547"/>
      <c r="X183" s="547"/>
      <c r="Y183" s="547"/>
      <c r="Z183" s="547"/>
      <c r="AA183" s="547"/>
      <c r="AB183" s="547"/>
      <c r="AC183" s="547"/>
      <c r="AD183" s="547"/>
      <c r="AE183" s="547"/>
      <c r="AF183" s="547"/>
      <c r="AG183" s="547"/>
      <c r="AH183" s="547"/>
      <c r="AI183" s="547"/>
      <c r="AJ183" s="547"/>
      <c r="AK183" s="547"/>
      <c r="AL183" s="547"/>
      <c r="AM183" s="547"/>
      <c r="AN183" s="541">
        <f>VLOOKUP("УТ-00042591",'Выгрузка из 1С'!$B$4:$K$1988,10,FALSE)</f>
        <v>0</v>
      </c>
      <c r="AO183" s="542"/>
      <c r="AP183" s="542"/>
      <c r="AQ183" s="542"/>
      <c r="AR183" s="542"/>
      <c r="AS183" s="542"/>
    </row>
    <row r="184" spans="1:45" s="19" customFormat="1" x14ac:dyDescent="0.25">
      <c r="A184" s="170"/>
      <c r="B184" s="170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</row>
    <row r="185" spans="1:45" s="194" customFormat="1" x14ac:dyDescent="0.25">
      <c r="A185" s="32"/>
      <c r="B185" s="32"/>
      <c r="C185" s="550" t="s">
        <v>247</v>
      </c>
      <c r="D185" s="551"/>
      <c r="E185" s="551"/>
      <c r="F185" s="551"/>
      <c r="G185" s="551"/>
      <c r="H185" s="551"/>
      <c r="I185" s="551"/>
      <c r="J185" s="551"/>
      <c r="K185" s="551"/>
      <c r="L185" s="551"/>
      <c r="M185" s="551"/>
      <c r="N185" s="551"/>
      <c r="O185" s="551"/>
      <c r="P185" s="551"/>
      <c r="Q185" s="551"/>
      <c r="R185" s="551"/>
      <c r="S185" s="551"/>
      <c r="T185" s="551"/>
      <c r="U185" s="551"/>
      <c r="V185" s="551"/>
      <c r="W185" s="551"/>
      <c r="X185" s="551"/>
      <c r="Y185" s="551"/>
      <c r="Z185" s="551"/>
      <c r="AA185" s="551"/>
      <c r="AB185" s="551"/>
      <c r="AC185" s="551"/>
      <c r="AD185" s="551"/>
      <c r="AE185" s="551"/>
      <c r="AF185" s="551"/>
      <c r="AG185" s="551"/>
      <c r="AH185" s="551"/>
      <c r="AI185" s="551"/>
      <c r="AJ185" s="551"/>
      <c r="AK185" s="551"/>
      <c r="AL185" s="551"/>
      <c r="AM185" s="551"/>
      <c r="AN185" s="551"/>
      <c r="AO185" s="551"/>
      <c r="AP185" s="551"/>
      <c r="AQ185" s="551"/>
      <c r="AR185" s="551"/>
      <c r="AS185" s="552"/>
    </row>
    <row r="186" spans="1:45" s="19" customFormat="1" x14ac:dyDescent="0.25">
      <c r="A186" s="170"/>
      <c r="B186" s="170"/>
      <c r="C186" s="375" t="s">
        <v>80</v>
      </c>
      <c r="D186" s="375"/>
      <c r="E186" s="375"/>
      <c r="F186" s="375"/>
      <c r="G186" s="375"/>
      <c r="H186" s="375"/>
      <c r="I186" s="375"/>
      <c r="J186" s="375"/>
      <c r="K186" s="375"/>
      <c r="L186" s="375"/>
      <c r="M186" s="375" t="s">
        <v>161</v>
      </c>
      <c r="N186" s="375"/>
      <c r="O186" s="375"/>
      <c r="P186" s="375"/>
      <c r="Q186" s="375"/>
      <c r="R186" s="375"/>
      <c r="S186" s="375"/>
      <c r="T186" s="375"/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75"/>
      <c r="AI186" s="375"/>
      <c r="AJ186" s="375"/>
      <c r="AK186" s="375"/>
      <c r="AL186" s="375"/>
      <c r="AM186" s="375"/>
      <c r="AN186" s="462" t="s">
        <v>907</v>
      </c>
      <c r="AO186" s="462"/>
      <c r="AP186" s="462"/>
      <c r="AQ186" s="462"/>
      <c r="AR186" s="462"/>
      <c r="AS186" s="462"/>
    </row>
    <row r="187" spans="1:45" s="19" customFormat="1" x14ac:dyDescent="0.25">
      <c r="A187" s="170"/>
      <c r="B187" s="170"/>
      <c r="C187" s="547" t="s">
        <v>237</v>
      </c>
      <c r="D187" s="547"/>
      <c r="E187" s="547"/>
      <c r="F187" s="547"/>
      <c r="G187" s="547"/>
      <c r="H187" s="547"/>
      <c r="I187" s="547"/>
      <c r="J187" s="547"/>
      <c r="K187" s="547"/>
      <c r="L187" s="547"/>
      <c r="M187" s="547" t="s">
        <v>236</v>
      </c>
      <c r="N187" s="547"/>
      <c r="O187" s="547"/>
      <c r="P187" s="547"/>
      <c r="Q187" s="547"/>
      <c r="R187" s="547"/>
      <c r="S187" s="547"/>
      <c r="T187" s="547"/>
      <c r="U187" s="547"/>
      <c r="V187" s="547"/>
      <c r="W187" s="547"/>
      <c r="X187" s="547"/>
      <c r="Y187" s="547"/>
      <c r="Z187" s="547"/>
      <c r="AA187" s="547"/>
      <c r="AB187" s="547"/>
      <c r="AC187" s="547"/>
      <c r="AD187" s="547"/>
      <c r="AE187" s="547"/>
      <c r="AF187" s="547"/>
      <c r="AG187" s="547"/>
      <c r="AH187" s="547"/>
      <c r="AI187" s="547"/>
      <c r="AJ187" s="547"/>
      <c r="AK187" s="547"/>
      <c r="AL187" s="547"/>
      <c r="AM187" s="547"/>
      <c r="AN187" s="541">
        <f>VLOOKUP("УТ-00099982",'Выгрузка из 1С'!$B$4:$K$1988,10,FALSE)</f>
        <v>0</v>
      </c>
      <c r="AO187" s="542"/>
      <c r="AP187" s="542"/>
      <c r="AQ187" s="542"/>
      <c r="AR187" s="542"/>
      <c r="AS187" s="542"/>
    </row>
    <row r="188" spans="1:45" s="19" customFormat="1" x14ac:dyDescent="0.25">
      <c r="A188" s="170"/>
      <c r="B188" s="170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83"/>
      <c r="AO188" s="55"/>
      <c r="AP188" s="55"/>
      <c r="AQ188" s="55"/>
      <c r="AR188" s="55"/>
      <c r="AS188" s="55"/>
    </row>
    <row r="189" spans="1:45" s="238" customFormat="1" x14ac:dyDescent="0.25">
      <c r="A189" s="237"/>
      <c r="B189" s="237"/>
      <c r="C189" s="548" t="s">
        <v>222</v>
      </c>
      <c r="D189" s="548"/>
      <c r="E189" s="548"/>
      <c r="F189" s="548"/>
      <c r="G189" s="548"/>
      <c r="H189" s="548"/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548"/>
      <c r="AB189" s="548"/>
      <c r="AC189" s="548"/>
      <c r="AD189" s="548"/>
      <c r="AE189" s="548"/>
      <c r="AF189" s="548"/>
      <c r="AG189" s="548"/>
      <c r="AH189" s="548"/>
      <c r="AI189" s="548"/>
      <c r="AJ189" s="548"/>
      <c r="AK189" s="548"/>
      <c r="AL189" s="548"/>
      <c r="AM189" s="548"/>
      <c r="AN189" s="548"/>
      <c r="AO189" s="548"/>
      <c r="AP189" s="548"/>
      <c r="AQ189" s="548"/>
      <c r="AR189" s="548"/>
      <c r="AS189" s="548"/>
    </row>
    <row r="190" spans="1:45" s="19" customFormat="1" x14ac:dyDescent="0.25">
      <c r="A190" s="170"/>
      <c r="B190" s="170"/>
      <c r="C190" s="375" t="s">
        <v>80</v>
      </c>
      <c r="D190" s="375"/>
      <c r="E190" s="375"/>
      <c r="F190" s="375"/>
      <c r="G190" s="375"/>
      <c r="H190" s="375"/>
      <c r="I190" s="375"/>
      <c r="J190" s="375"/>
      <c r="K190" s="375"/>
      <c r="L190" s="375"/>
      <c r="M190" s="375" t="s">
        <v>161</v>
      </c>
      <c r="N190" s="375"/>
      <c r="O190" s="375"/>
      <c r="P190" s="375"/>
      <c r="Q190" s="375"/>
      <c r="R190" s="375"/>
      <c r="S190" s="375"/>
      <c r="T190" s="375"/>
      <c r="U190" s="375"/>
      <c r="V190" s="375"/>
      <c r="W190" s="375"/>
      <c r="X190" s="375"/>
      <c r="Y190" s="375"/>
      <c r="Z190" s="375"/>
      <c r="AA190" s="375"/>
      <c r="AB190" s="375"/>
      <c r="AC190" s="375"/>
      <c r="AD190" s="375"/>
      <c r="AE190" s="375"/>
      <c r="AF190" s="375"/>
      <c r="AG190" s="375"/>
      <c r="AH190" s="375"/>
      <c r="AI190" s="375"/>
      <c r="AJ190" s="375"/>
      <c r="AK190" s="375"/>
      <c r="AL190" s="375"/>
      <c r="AM190" s="375"/>
      <c r="AN190" s="462" t="s">
        <v>907</v>
      </c>
      <c r="AO190" s="462"/>
      <c r="AP190" s="462"/>
      <c r="AQ190" s="462"/>
      <c r="AR190" s="462"/>
      <c r="AS190" s="462"/>
    </row>
    <row r="191" spans="1:45" s="19" customFormat="1" x14ac:dyDescent="0.25">
      <c r="A191" s="269"/>
      <c r="B191" s="269"/>
      <c r="C191" s="540" t="s">
        <v>241</v>
      </c>
      <c r="D191" s="547"/>
      <c r="E191" s="547"/>
      <c r="F191" s="547"/>
      <c r="G191" s="547"/>
      <c r="H191" s="547"/>
      <c r="I191" s="547"/>
      <c r="J191" s="547"/>
      <c r="K191" s="547"/>
      <c r="L191" s="547"/>
      <c r="M191" s="547" t="s">
        <v>406</v>
      </c>
      <c r="N191" s="547"/>
      <c r="O191" s="547"/>
      <c r="P191" s="547"/>
      <c r="Q191" s="547"/>
      <c r="R191" s="547"/>
      <c r="S191" s="547"/>
      <c r="T191" s="547"/>
      <c r="U191" s="547"/>
      <c r="V191" s="547"/>
      <c r="W191" s="547"/>
      <c r="X191" s="547"/>
      <c r="Y191" s="547"/>
      <c r="Z191" s="547"/>
      <c r="AA191" s="547"/>
      <c r="AB191" s="547"/>
      <c r="AC191" s="547"/>
      <c r="AD191" s="547"/>
      <c r="AE191" s="547"/>
      <c r="AF191" s="547"/>
      <c r="AG191" s="547"/>
      <c r="AH191" s="547"/>
      <c r="AI191" s="547"/>
      <c r="AJ191" s="547"/>
      <c r="AK191" s="547"/>
      <c r="AL191" s="547"/>
      <c r="AM191" s="547"/>
      <c r="AN191" s="541">
        <f>VLOOKUP("00-00198724",'Выгрузка из 1С'!$B$4:$K$1988,10,FALSE)</f>
        <v>0</v>
      </c>
      <c r="AO191" s="542"/>
      <c r="AP191" s="542"/>
      <c r="AQ191" s="542"/>
      <c r="AR191" s="542"/>
      <c r="AS191" s="542"/>
    </row>
    <row r="192" spans="1:45" s="19" customFormat="1" x14ac:dyDescent="0.25">
      <c r="A192" s="170"/>
      <c r="B192" s="170"/>
      <c r="C192" s="540" t="s">
        <v>238</v>
      </c>
      <c r="D192" s="547"/>
      <c r="E192" s="547"/>
      <c r="F192" s="547"/>
      <c r="G192" s="547"/>
      <c r="H192" s="547"/>
      <c r="I192" s="547"/>
      <c r="J192" s="547"/>
      <c r="K192" s="547"/>
      <c r="L192" s="547"/>
      <c r="M192" s="547" t="s">
        <v>404</v>
      </c>
      <c r="N192" s="547"/>
      <c r="O192" s="547"/>
      <c r="P192" s="547"/>
      <c r="Q192" s="547"/>
      <c r="R192" s="547"/>
      <c r="S192" s="547"/>
      <c r="T192" s="547"/>
      <c r="U192" s="547"/>
      <c r="V192" s="547"/>
      <c r="W192" s="547"/>
      <c r="X192" s="547"/>
      <c r="Y192" s="547"/>
      <c r="Z192" s="547"/>
      <c r="AA192" s="547"/>
      <c r="AB192" s="547"/>
      <c r="AC192" s="547"/>
      <c r="AD192" s="547"/>
      <c r="AE192" s="547"/>
      <c r="AF192" s="547"/>
      <c r="AG192" s="547"/>
      <c r="AH192" s="547"/>
      <c r="AI192" s="547"/>
      <c r="AJ192" s="547"/>
      <c r="AK192" s="547"/>
      <c r="AL192" s="547"/>
      <c r="AM192" s="547"/>
      <c r="AN192" s="541">
        <f>VLOOKUP("УТ-00114518",'Выгрузка из 1С'!$B$4:$K$1988,10,FALSE)</f>
        <v>0</v>
      </c>
      <c r="AO192" s="542"/>
      <c r="AP192" s="542"/>
      <c r="AQ192" s="542"/>
      <c r="AR192" s="542"/>
      <c r="AS192" s="542"/>
    </row>
    <row r="193" spans="1:12700" s="19" customFormat="1" x14ac:dyDescent="0.25">
      <c r="A193" s="170"/>
      <c r="B193" s="170"/>
      <c r="C193" s="540" t="s">
        <v>239</v>
      </c>
      <c r="D193" s="547"/>
      <c r="E193" s="547"/>
      <c r="F193" s="547"/>
      <c r="G193" s="547"/>
      <c r="H193" s="547"/>
      <c r="I193" s="547"/>
      <c r="J193" s="547"/>
      <c r="K193" s="547"/>
      <c r="L193" s="547"/>
      <c r="M193" s="547" t="s">
        <v>921</v>
      </c>
      <c r="N193" s="547"/>
      <c r="O193" s="547"/>
      <c r="P193" s="547"/>
      <c r="Q193" s="547"/>
      <c r="R193" s="547"/>
      <c r="S193" s="547"/>
      <c r="T193" s="547"/>
      <c r="U193" s="547"/>
      <c r="V193" s="547"/>
      <c r="W193" s="547"/>
      <c r="X193" s="547"/>
      <c r="Y193" s="547"/>
      <c r="Z193" s="547"/>
      <c r="AA193" s="547"/>
      <c r="AB193" s="547"/>
      <c r="AC193" s="547"/>
      <c r="AD193" s="547"/>
      <c r="AE193" s="547"/>
      <c r="AF193" s="547"/>
      <c r="AG193" s="547"/>
      <c r="AH193" s="547"/>
      <c r="AI193" s="547"/>
      <c r="AJ193" s="547"/>
      <c r="AK193" s="547"/>
      <c r="AL193" s="547"/>
      <c r="AM193" s="547"/>
      <c r="AN193" s="541">
        <f>VLOOKUP("УТ-00124420",'Выгрузка из 1С'!$B$4:$K$1988,10,FALSE)</f>
        <v>0</v>
      </c>
      <c r="AO193" s="542"/>
      <c r="AP193" s="542"/>
      <c r="AQ193" s="542"/>
      <c r="AR193" s="542"/>
      <c r="AS193" s="542"/>
    </row>
    <row r="194" spans="1:12700" s="19" customFormat="1" x14ac:dyDescent="0.25">
      <c r="A194" s="170"/>
      <c r="B194" s="170"/>
      <c r="C194" s="540" t="s">
        <v>240</v>
      </c>
      <c r="D194" s="547"/>
      <c r="E194" s="547"/>
      <c r="F194" s="547"/>
      <c r="G194" s="547"/>
      <c r="H194" s="547"/>
      <c r="I194" s="547"/>
      <c r="J194" s="547"/>
      <c r="K194" s="547"/>
      <c r="L194" s="547"/>
      <c r="M194" s="547" t="s">
        <v>405</v>
      </c>
      <c r="N194" s="547"/>
      <c r="O194" s="547"/>
      <c r="P194" s="547"/>
      <c r="Q194" s="547"/>
      <c r="R194" s="547"/>
      <c r="S194" s="547"/>
      <c r="T194" s="547"/>
      <c r="U194" s="547"/>
      <c r="V194" s="547"/>
      <c r="W194" s="547"/>
      <c r="X194" s="547"/>
      <c r="Y194" s="547"/>
      <c r="Z194" s="547"/>
      <c r="AA194" s="547"/>
      <c r="AB194" s="547"/>
      <c r="AC194" s="547"/>
      <c r="AD194" s="547"/>
      <c r="AE194" s="547"/>
      <c r="AF194" s="547"/>
      <c r="AG194" s="547"/>
      <c r="AH194" s="547"/>
      <c r="AI194" s="547"/>
      <c r="AJ194" s="547"/>
      <c r="AK194" s="547"/>
      <c r="AL194" s="547"/>
      <c r="AM194" s="547"/>
      <c r="AN194" s="541">
        <f>VLOOKUP("УТ-00099806",'Выгрузка из 1С'!$B$4:$K$1988,10,FALSE)</f>
        <v>0</v>
      </c>
      <c r="AO194" s="542"/>
      <c r="AP194" s="542"/>
      <c r="AQ194" s="542"/>
      <c r="AR194" s="542"/>
      <c r="AS194" s="542"/>
    </row>
    <row r="195" spans="1:12700" s="19" customFormat="1" x14ac:dyDescent="0.25">
      <c r="A195" s="170"/>
      <c r="B195" s="170"/>
      <c r="C195" s="62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83"/>
      <c r="AO195" s="55"/>
      <c r="AP195" s="55"/>
      <c r="AQ195" s="55"/>
      <c r="AR195" s="55"/>
      <c r="AS195" s="55"/>
    </row>
    <row r="196" spans="1:12700" s="25" customFormat="1" ht="15.75" x14ac:dyDescent="0.25">
      <c r="A196" s="24"/>
      <c r="B196" s="24"/>
      <c r="C196" s="49" t="s">
        <v>224</v>
      </c>
      <c r="D196" s="13"/>
      <c r="E196" s="13"/>
      <c r="F196" s="13"/>
      <c r="G196" s="13"/>
      <c r="H196" s="13"/>
      <c r="I196" s="13"/>
      <c r="J196" s="13"/>
      <c r="K196" s="13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</row>
    <row r="197" spans="1:12700" s="19" customFormat="1" x14ac:dyDescent="0.25">
      <c r="A197" s="269"/>
      <c r="B197" s="269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</row>
    <row r="198" spans="1:12700" s="19" customFormat="1" x14ac:dyDescent="0.25">
      <c r="A198" s="170"/>
      <c r="B198" s="170"/>
      <c r="C198" s="375" t="s">
        <v>80</v>
      </c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  <c r="O198" s="375"/>
      <c r="P198" s="375"/>
      <c r="Q198" s="375"/>
      <c r="R198" s="375"/>
      <c r="S198" s="375"/>
      <c r="T198" s="375"/>
      <c r="U198" s="375"/>
      <c r="V198" s="375"/>
      <c r="W198" s="375"/>
      <c r="X198" s="375"/>
      <c r="Y198" s="375"/>
      <c r="Z198" s="375"/>
      <c r="AA198" s="375"/>
      <c r="AB198" s="375"/>
      <c r="AC198" s="375"/>
      <c r="AD198" s="375"/>
      <c r="AE198" s="375"/>
      <c r="AF198" s="375"/>
      <c r="AG198" s="375"/>
      <c r="AH198" s="375"/>
      <c r="AI198" s="375"/>
      <c r="AJ198" s="375"/>
      <c r="AK198" s="375"/>
      <c r="AL198" s="375"/>
      <c r="AM198" s="375"/>
      <c r="AN198" s="462" t="s">
        <v>907</v>
      </c>
      <c r="AO198" s="462"/>
      <c r="AP198" s="462"/>
      <c r="AQ198" s="462"/>
      <c r="AR198" s="462"/>
      <c r="AS198" s="462"/>
    </row>
    <row r="199" spans="1:12700" s="19" customFormat="1" x14ac:dyDescent="0.25">
      <c r="A199" s="170"/>
      <c r="B199" s="170"/>
      <c r="C199" s="547" t="s">
        <v>242</v>
      </c>
      <c r="D199" s="547"/>
      <c r="E199" s="547"/>
      <c r="F199" s="547"/>
      <c r="G199" s="547"/>
      <c r="H199" s="547"/>
      <c r="I199" s="547"/>
      <c r="J199" s="547"/>
      <c r="K199" s="547"/>
      <c r="L199" s="547"/>
      <c r="M199" s="547"/>
      <c r="N199" s="547"/>
      <c r="O199" s="547"/>
      <c r="P199" s="547"/>
      <c r="Q199" s="547"/>
      <c r="R199" s="547"/>
      <c r="S199" s="547"/>
      <c r="T199" s="547"/>
      <c r="U199" s="547"/>
      <c r="V199" s="547"/>
      <c r="W199" s="547"/>
      <c r="X199" s="547"/>
      <c r="Y199" s="547"/>
      <c r="Z199" s="547"/>
      <c r="AA199" s="547"/>
      <c r="AB199" s="547"/>
      <c r="AC199" s="547"/>
      <c r="AD199" s="547"/>
      <c r="AE199" s="547"/>
      <c r="AF199" s="547"/>
      <c r="AG199" s="547"/>
      <c r="AH199" s="547"/>
      <c r="AI199" s="547"/>
      <c r="AJ199" s="547"/>
      <c r="AK199" s="547"/>
      <c r="AL199" s="547"/>
      <c r="AM199" s="547"/>
      <c r="AN199" s="541">
        <f>VLOOKUP("УТ-00096819",'Выгрузка из 1С'!$B$4:$K$1988,10,FALSE)</f>
        <v>27120</v>
      </c>
      <c r="AO199" s="542"/>
      <c r="AP199" s="542"/>
      <c r="AQ199" s="542"/>
      <c r="AR199" s="542"/>
      <c r="AS199" s="542"/>
    </row>
    <row r="200" spans="1:12700" s="19" customFormat="1" ht="15" customHeight="1" x14ac:dyDescent="0.25">
      <c r="A200" s="170"/>
      <c r="B200" s="170"/>
      <c r="C200" s="547" t="s">
        <v>243</v>
      </c>
      <c r="D200" s="547"/>
      <c r="E200" s="547"/>
      <c r="F200" s="547"/>
      <c r="G200" s="547"/>
      <c r="H200" s="547"/>
      <c r="I200" s="547"/>
      <c r="J200" s="547"/>
      <c r="K200" s="547"/>
      <c r="L200" s="547"/>
      <c r="M200" s="547"/>
      <c r="N200" s="547"/>
      <c r="O200" s="547"/>
      <c r="P200" s="547"/>
      <c r="Q200" s="547"/>
      <c r="R200" s="547"/>
      <c r="S200" s="547"/>
      <c r="T200" s="547"/>
      <c r="U200" s="547"/>
      <c r="V200" s="547"/>
      <c r="W200" s="547"/>
      <c r="X200" s="547"/>
      <c r="Y200" s="547"/>
      <c r="Z200" s="547"/>
      <c r="AA200" s="547"/>
      <c r="AB200" s="547"/>
      <c r="AC200" s="547"/>
      <c r="AD200" s="547"/>
      <c r="AE200" s="547"/>
      <c r="AF200" s="547"/>
      <c r="AG200" s="547"/>
      <c r="AH200" s="547"/>
      <c r="AI200" s="547"/>
      <c r="AJ200" s="547"/>
      <c r="AK200" s="547"/>
      <c r="AL200" s="547"/>
      <c r="AM200" s="547"/>
      <c r="AN200" s="541">
        <f>VLOOKUP("УТ-00099919",'Выгрузка из 1С'!$B$4:$K$1988,10,FALSE)</f>
        <v>29880</v>
      </c>
      <c r="AO200" s="542"/>
      <c r="AP200" s="542"/>
      <c r="AQ200" s="542"/>
      <c r="AR200" s="542"/>
      <c r="AS200" s="542"/>
    </row>
    <row r="201" spans="1:12700" s="25" customFormat="1" x14ac:dyDescent="0.25">
      <c r="A201" s="170"/>
      <c r="B201" s="17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</row>
    <row r="202" spans="1:12700" s="36" customFormat="1" ht="13.5" customHeight="1" x14ac:dyDescent="0.25">
      <c r="A202" s="173"/>
      <c r="B202" s="5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6"/>
      <c r="AR202" s="6"/>
      <c r="AS202" s="6"/>
    </row>
    <row r="203" spans="1:12700" s="25" customFormat="1" ht="15.75" x14ac:dyDescent="0.25">
      <c r="A203" s="24"/>
      <c r="B203" s="24"/>
      <c r="C203" s="195" t="s">
        <v>220</v>
      </c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6"/>
      <c r="AR203" s="196"/>
      <c r="AS203" s="196"/>
    </row>
    <row r="204" spans="1:12700" s="197" customFormat="1" x14ac:dyDescent="0.25">
      <c r="A204" s="7"/>
      <c r="B204" s="7"/>
      <c r="C204" s="375" t="s">
        <v>80</v>
      </c>
      <c r="D204" s="375"/>
      <c r="E204" s="375"/>
      <c r="F204" s="375"/>
      <c r="G204" s="375"/>
      <c r="H204" s="375"/>
      <c r="I204" s="375"/>
      <c r="J204" s="375"/>
      <c r="K204" s="375"/>
      <c r="L204" s="375"/>
      <c r="M204" s="375" t="s">
        <v>161</v>
      </c>
      <c r="N204" s="375"/>
      <c r="O204" s="375"/>
      <c r="P204" s="375"/>
      <c r="Q204" s="375"/>
      <c r="R204" s="375"/>
      <c r="S204" s="375"/>
      <c r="T204" s="375"/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75"/>
      <c r="AI204" s="375"/>
      <c r="AJ204" s="375"/>
      <c r="AK204" s="375"/>
      <c r="AL204" s="375"/>
      <c r="AM204" s="375"/>
      <c r="AN204" s="462" t="s">
        <v>907</v>
      </c>
      <c r="AO204" s="462"/>
      <c r="AP204" s="462"/>
      <c r="AQ204" s="462"/>
      <c r="AR204" s="462"/>
      <c r="AS204" s="462"/>
    </row>
    <row r="205" spans="1:12700" s="197" customFormat="1" ht="82.5" customHeight="1" x14ac:dyDescent="0.25">
      <c r="A205" s="198"/>
      <c r="B205" s="7"/>
      <c r="C205" s="526" t="s">
        <v>191</v>
      </c>
      <c r="D205" s="526"/>
      <c r="E205" s="526"/>
      <c r="F205" s="526"/>
      <c r="G205" s="526"/>
      <c r="H205" s="526"/>
      <c r="I205" s="526"/>
      <c r="J205" s="526"/>
      <c r="K205" s="526"/>
      <c r="L205" s="526"/>
      <c r="M205" s="526" t="s">
        <v>216</v>
      </c>
      <c r="N205" s="526"/>
      <c r="O205" s="526"/>
      <c r="P205" s="526"/>
      <c r="Q205" s="526"/>
      <c r="R205" s="526"/>
      <c r="S205" s="526"/>
      <c r="T205" s="526"/>
      <c r="U205" s="526"/>
      <c r="V205" s="526"/>
      <c r="W205" s="526"/>
      <c r="X205" s="526"/>
      <c r="Y205" s="526"/>
      <c r="Z205" s="526"/>
      <c r="AA205" s="526"/>
      <c r="AB205" s="526"/>
      <c r="AC205" s="526"/>
      <c r="AD205" s="526"/>
      <c r="AE205" s="526"/>
      <c r="AF205" s="526"/>
      <c r="AG205" s="526"/>
      <c r="AH205" s="526"/>
      <c r="AI205" s="526"/>
      <c r="AJ205" s="526"/>
      <c r="AK205" s="526"/>
      <c r="AL205" s="526"/>
      <c r="AM205" s="526"/>
      <c r="AN205" s="541">
        <f>VLOOKUP("00-00035029",'Выгрузка из 1С'!$B$4:$K$1988,10,FALSE)</f>
        <v>36000</v>
      </c>
      <c r="AO205" s="542"/>
      <c r="AP205" s="542"/>
      <c r="AQ205" s="542"/>
      <c r="AR205" s="542"/>
      <c r="AS205" s="542"/>
      <c r="AT205" s="199"/>
      <c r="AU205" s="199"/>
      <c r="AV205" s="199"/>
      <c r="AW205" s="199"/>
      <c r="AX205" s="199"/>
      <c r="AY205" s="199"/>
      <c r="AZ205" s="199"/>
      <c r="BA205" s="199"/>
      <c r="BB205" s="199"/>
      <c r="BC205" s="199"/>
      <c r="BD205" s="199"/>
      <c r="BE205" s="199"/>
      <c r="BF205" s="199"/>
      <c r="BG205" s="199"/>
      <c r="BH205" s="199"/>
      <c r="BI205" s="199"/>
      <c r="BJ205" s="199"/>
      <c r="BK205" s="199"/>
      <c r="BL205" s="199"/>
      <c r="BM205" s="199"/>
      <c r="BN205" s="199"/>
      <c r="BO205" s="199"/>
      <c r="BP205" s="199"/>
      <c r="BQ205" s="199"/>
      <c r="BR205" s="199"/>
      <c r="BS205" s="199"/>
      <c r="BT205" s="199"/>
      <c r="BU205" s="199"/>
      <c r="BV205" s="199"/>
      <c r="BW205" s="199"/>
      <c r="BX205" s="199"/>
      <c r="BY205" s="199"/>
      <c r="BZ205" s="199"/>
      <c r="CA205" s="199"/>
      <c r="CB205" s="199"/>
      <c r="CC205" s="199"/>
      <c r="CD205" s="199"/>
      <c r="CE205" s="199"/>
      <c r="CF205" s="199"/>
      <c r="CG205" s="199"/>
      <c r="CH205" s="199"/>
      <c r="CI205" s="199"/>
      <c r="CJ205" s="199"/>
      <c r="CK205" s="199"/>
      <c r="CL205" s="199"/>
      <c r="CM205" s="199"/>
      <c r="CN205" s="199"/>
      <c r="CO205" s="199"/>
      <c r="CP205" s="199"/>
      <c r="CQ205" s="199"/>
      <c r="CR205" s="199"/>
      <c r="CS205" s="199"/>
      <c r="CT205" s="199"/>
      <c r="CU205" s="199"/>
      <c r="CV205" s="199"/>
      <c r="CW205" s="199"/>
      <c r="CX205" s="199"/>
      <c r="CY205" s="199"/>
      <c r="CZ205" s="199"/>
      <c r="DA205" s="199"/>
      <c r="DB205" s="199"/>
      <c r="DC205" s="199"/>
      <c r="DD205" s="199"/>
      <c r="DE205" s="199"/>
      <c r="DF205" s="199"/>
      <c r="DG205" s="199"/>
      <c r="DH205" s="199"/>
      <c r="DI205" s="199"/>
      <c r="DJ205" s="199"/>
      <c r="DK205" s="199"/>
      <c r="DL205" s="199"/>
      <c r="DM205" s="199"/>
      <c r="DN205" s="199"/>
      <c r="DO205" s="199"/>
      <c r="DP205" s="199"/>
      <c r="DQ205" s="199"/>
      <c r="DR205" s="199"/>
      <c r="DS205" s="199"/>
      <c r="DT205" s="199"/>
      <c r="DU205" s="199"/>
      <c r="DV205" s="199"/>
      <c r="DW205" s="199"/>
      <c r="DX205" s="199"/>
      <c r="DY205" s="199"/>
      <c r="DZ205" s="199"/>
      <c r="EA205" s="199"/>
      <c r="EB205" s="199"/>
      <c r="EC205" s="199"/>
      <c r="ED205" s="199"/>
      <c r="EE205" s="199"/>
      <c r="EF205" s="199"/>
      <c r="EG205" s="199"/>
      <c r="EH205" s="199"/>
      <c r="EI205" s="199"/>
      <c r="EJ205" s="199"/>
      <c r="EK205" s="199"/>
      <c r="EL205" s="199"/>
      <c r="EM205" s="199"/>
      <c r="EN205" s="199"/>
      <c r="EO205" s="199"/>
      <c r="EP205" s="199"/>
      <c r="EQ205" s="199"/>
      <c r="ER205" s="199"/>
      <c r="ES205" s="199"/>
      <c r="ET205" s="199"/>
      <c r="EU205" s="199"/>
      <c r="EV205" s="199"/>
      <c r="EW205" s="199"/>
      <c r="EX205" s="199"/>
      <c r="EY205" s="199"/>
      <c r="EZ205" s="199"/>
      <c r="FA205" s="199"/>
      <c r="FB205" s="199"/>
      <c r="FC205" s="199"/>
      <c r="FD205" s="199"/>
      <c r="FE205" s="199"/>
      <c r="FF205" s="199"/>
      <c r="FG205" s="199"/>
      <c r="FH205" s="199"/>
      <c r="FI205" s="199"/>
      <c r="FJ205" s="199"/>
      <c r="FK205" s="199"/>
      <c r="FL205" s="199"/>
      <c r="FM205" s="199"/>
      <c r="FN205" s="199"/>
      <c r="FO205" s="199"/>
      <c r="FP205" s="199"/>
      <c r="FQ205" s="199"/>
      <c r="FR205" s="199"/>
      <c r="FS205" s="199"/>
      <c r="FT205" s="199"/>
      <c r="FU205" s="199"/>
      <c r="FV205" s="199"/>
      <c r="FW205" s="199"/>
      <c r="FX205" s="199"/>
      <c r="FY205" s="199"/>
      <c r="FZ205" s="199"/>
      <c r="GA205" s="199"/>
      <c r="GB205" s="199"/>
      <c r="GC205" s="199"/>
      <c r="GD205" s="199"/>
      <c r="GE205" s="199"/>
      <c r="GF205" s="199"/>
      <c r="GG205" s="199"/>
      <c r="GH205" s="199"/>
      <c r="GI205" s="199"/>
      <c r="GJ205" s="199"/>
      <c r="GK205" s="199"/>
      <c r="GL205" s="199"/>
      <c r="GM205" s="199"/>
      <c r="GN205" s="199"/>
      <c r="GO205" s="199"/>
      <c r="GP205" s="199"/>
      <c r="GQ205" s="199"/>
      <c r="GR205" s="199"/>
      <c r="GS205" s="199"/>
      <c r="GT205" s="199"/>
      <c r="GU205" s="199"/>
      <c r="GV205" s="199"/>
      <c r="GW205" s="199"/>
      <c r="GX205" s="199"/>
      <c r="GY205" s="199"/>
      <c r="GZ205" s="199"/>
      <c r="HA205" s="199"/>
      <c r="HB205" s="199"/>
      <c r="HC205" s="199"/>
      <c r="HD205" s="199"/>
      <c r="HE205" s="199"/>
      <c r="HF205" s="199"/>
      <c r="HG205" s="199"/>
      <c r="HH205" s="199"/>
      <c r="HI205" s="199"/>
      <c r="HJ205" s="199"/>
      <c r="HK205" s="199"/>
      <c r="HL205" s="199"/>
      <c r="HM205" s="199"/>
      <c r="HN205" s="199"/>
      <c r="HO205" s="199"/>
      <c r="HP205" s="199"/>
      <c r="HQ205" s="199"/>
      <c r="HR205" s="199"/>
      <c r="HS205" s="199"/>
      <c r="HT205" s="199"/>
      <c r="HU205" s="199"/>
      <c r="HV205" s="199"/>
      <c r="HW205" s="199"/>
      <c r="HX205" s="199"/>
      <c r="HY205" s="199"/>
      <c r="HZ205" s="199"/>
      <c r="IA205" s="199"/>
      <c r="IB205" s="199"/>
      <c r="IC205" s="199"/>
      <c r="ID205" s="199"/>
      <c r="IE205" s="199"/>
      <c r="IF205" s="199"/>
      <c r="IG205" s="199"/>
      <c r="IH205" s="199"/>
      <c r="II205" s="199"/>
      <c r="IJ205" s="199"/>
      <c r="IK205" s="199"/>
      <c r="IL205" s="199"/>
      <c r="IM205" s="199"/>
      <c r="IN205" s="199"/>
      <c r="IO205" s="199"/>
      <c r="IP205" s="199"/>
      <c r="IQ205" s="199"/>
      <c r="IR205" s="199"/>
      <c r="IS205" s="199"/>
      <c r="IT205" s="199"/>
      <c r="IU205" s="199"/>
      <c r="IV205" s="199"/>
      <c r="IW205" s="199"/>
      <c r="IX205" s="199"/>
      <c r="IY205" s="199"/>
      <c r="IZ205" s="199"/>
      <c r="JA205" s="199"/>
      <c r="JB205" s="199"/>
      <c r="JC205" s="199"/>
      <c r="JD205" s="199"/>
      <c r="JE205" s="199"/>
      <c r="JF205" s="199"/>
      <c r="JG205" s="199"/>
      <c r="JH205" s="199"/>
      <c r="JI205" s="199"/>
      <c r="JJ205" s="199"/>
      <c r="JK205" s="199"/>
      <c r="JL205" s="199"/>
      <c r="JM205" s="199"/>
      <c r="JN205" s="199"/>
      <c r="JO205" s="199"/>
      <c r="JP205" s="199"/>
      <c r="JQ205" s="199"/>
      <c r="JR205" s="199"/>
      <c r="JS205" s="199"/>
      <c r="JT205" s="199"/>
      <c r="JU205" s="199"/>
      <c r="JV205" s="199"/>
      <c r="JW205" s="199"/>
      <c r="JX205" s="199"/>
      <c r="JY205" s="199"/>
      <c r="JZ205" s="199"/>
      <c r="KA205" s="199"/>
      <c r="KB205" s="199"/>
      <c r="KC205" s="199"/>
      <c r="KD205" s="199"/>
      <c r="KE205" s="199"/>
      <c r="KF205" s="199"/>
      <c r="KG205" s="199"/>
      <c r="KH205" s="199"/>
      <c r="KI205" s="199"/>
      <c r="KJ205" s="199"/>
      <c r="KK205" s="199"/>
      <c r="KL205" s="199"/>
      <c r="KM205" s="199"/>
      <c r="KN205" s="199"/>
      <c r="KO205" s="199"/>
      <c r="KP205" s="199"/>
      <c r="KQ205" s="199"/>
      <c r="KR205" s="199"/>
      <c r="KS205" s="199"/>
      <c r="KT205" s="199"/>
      <c r="KU205" s="199"/>
      <c r="KV205" s="199"/>
      <c r="KW205" s="199"/>
      <c r="KX205" s="199"/>
      <c r="KY205" s="199"/>
      <c r="KZ205" s="199"/>
      <c r="LA205" s="199"/>
      <c r="LB205" s="199"/>
      <c r="LC205" s="199"/>
      <c r="LD205" s="199"/>
      <c r="LE205" s="199"/>
      <c r="LF205" s="199"/>
      <c r="LG205" s="199"/>
      <c r="LH205" s="199"/>
      <c r="LI205" s="199"/>
      <c r="LJ205" s="199"/>
      <c r="LK205" s="199"/>
      <c r="LL205" s="199"/>
      <c r="LM205" s="199"/>
      <c r="LN205" s="199"/>
      <c r="LO205" s="199"/>
      <c r="LP205" s="199"/>
      <c r="LQ205" s="199"/>
      <c r="LR205" s="199"/>
      <c r="LS205" s="199"/>
      <c r="LT205" s="199"/>
      <c r="LU205" s="199"/>
      <c r="LV205" s="199"/>
      <c r="LW205" s="199"/>
      <c r="LX205" s="199"/>
      <c r="LY205" s="199"/>
      <c r="LZ205" s="199"/>
      <c r="MA205" s="199"/>
      <c r="MB205" s="199"/>
      <c r="MC205" s="199"/>
      <c r="MD205" s="199"/>
      <c r="ME205" s="199"/>
      <c r="MF205" s="199"/>
      <c r="MG205" s="199"/>
      <c r="MH205" s="199"/>
      <c r="MI205" s="199"/>
      <c r="MJ205" s="199"/>
      <c r="MK205" s="199"/>
      <c r="ML205" s="199"/>
      <c r="MM205" s="199"/>
      <c r="MN205" s="199"/>
      <c r="MO205" s="199"/>
      <c r="MP205" s="199"/>
      <c r="MQ205" s="199"/>
      <c r="MR205" s="199"/>
      <c r="MS205" s="199"/>
      <c r="MT205" s="199"/>
      <c r="MU205" s="199"/>
      <c r="MV205" s="199"/>
      <c r="MW205" s="199"/>
      <c r="MX205" s="199"/>
      <c r="MY205" s="199"/>
      <c r="MZ205" s="199"/>
      <c r="NA205" s="199"/>
      <c r="NB205" s="199"/>
      <c r="NC205" s="199"/>
      <c r="ND205" s="199"/>
      <c r="NE205" s="199"/>
      <c r="NF205" s="199"/>
      <c r="NG205" s="199"/>
      <c r="NH205" s="199"/>
      <c r="NI205" s="199"/>
      <c r="NJ205" s="199"/>
      <c r="NK205" s="199"/>
      <c r="NL205" s="199"/>
      <c r="NM205" s="199"/>
      <c r="NN205" s="199"/>
      <c r="NO205" s="199"/>
      <c r="NP205" s="199"/>
      <c r="NQ205" s="199"/>
      <c r="NR205" s="199"/>
      <c r="NS205" s="199"/>
      <c r="NT205" s="199"/>
      <c r="NU205" s="199"/>
      <c r="NV205" s="199"/>
      <c r="NW205" s="199"/>
      <c r="NX205" s="199"/>
      <c r="NY205" s="199"/>
      <c r="NZ205" s="199"/>
      <c r="OA205" s="199"/>
      <c r="OB205" s="199"/>
      <c r="OC205" s="199"/>
      <c r="OD205" s="199"/>
      <c r="OE205" s="199"/>
      <c r="OF205" s="199"/>
      <c r="OG205" s="199"/>
      <c r="OH205" s="199"/>
      <c r="OI205" s="199"/>
      <c r="OJ205" s="199"/>
      <c r="OK205" s="199"/>
      <c r="OL205" s="199"/>
      <c r="OM205" s="199"/>
      <c r="ON205" s="199"/>
      <c r="OO205" s="199"/>
      <c r="OP205" s="199"/>
      <c r="OQ205" s="199"/>
      <c r="OR205" s="199"/>
      <c r="OS205" s="199"/>
      <c r="OT205" s="199"/>
      <c r="OU205" s="199"/>
      <c r="OV205" s="199"/>
      <c r="OW205" s="199"/>
      <c r="OX205" s="199"/>
      <c r="OY205" s="199"/>
      <c r="OZ205" s="199"/>
      <c r="PA205" s="199"/>
      <c r="PB205" s="199"/>
      <c r="PC205" s="199"/>
      <c r="PD205" s="199"/>
      <c r="PE205" s="199"/>
      <c r="PF205" s="199"/>
      <c r="PG205" s="199"/>
      <c r="PH205" s="199"/>
      <c r="PI205" s="199"/>
      <c r="PJ205" s="199"/>
      <c r="PK205" s="199"/>
      <c r="PL205" s="199"/>
      <c r="PM205" s="199"/>
      <c r="PN205" s="199"/>
      <c r="PO205" s="199"/>
      <c r="PP205" s="199"/>
      <c r="PQ205" s="199"/>
      <c r="PR205" s="199"/>
      <c r="PS205" s="199"/>
      <c r="PT205" s="199"/>
      <c r="PU205" s="199"/>
      <c r="PV205" s="199"/>
      <c r="PW205" s="199"/>
      <c r="PX205" s="199"/>
      <c r="PY205" s="199"/>
      <c r="PZ205" s="199"/>
      <c r="QA205" s="199"/>
      <c r="QB205" s="199"/>
      <c r="QC205" s="199"/>
      <c r="QD205" s="199"/>
      <c r="QE205" s="199"/>
      <c r="QF205" s="199"/>
      <c r="QG205" s="199"/>
      <c r="QH205" s="199"/>
      <c r="QI205" s="199"/>
      <c r="QJ205" s="199"/>
      <c r="QK205" s="199"/>
      <c r="QL205" s="199"/>
      <c r="QM205" s="199"/>
      <c r="QN205" s="199"/>
      <c r="QO205" s="199"/>
      <c r="QP205" s="199"/>
      <c r="QQ205" s="199"/>
      <c r="QR205" s="199"/>
      <c r="QS205" s="199"/>
      <c r="QT205" s="199"/>
      <c r="QU205" s="199"/>
      <c r="QV205" s="199"/>
      <c r="QW205" s="199"/>
      <c r="QX205" s="199"/>
      <c r="QY205" s="199"/>
      <c r="QZ205" s="199"/>
      <c r="RA205" s="199"/>
      <c r="RB205" s="199"/>
      <c r="RC205" s="199"/>
      <c r="RD205" s="199"/>
      <c r="RE205" s="199"/>
      <c r="RF205" s="199"/>
      <c r="RG205" s="199"/>
      <c r="RH205" s="199"/>
      <c r="RI205" s="199"/>
      <c r="RJ205" s="199"/>
      <c r="RK205" s="199"/>
      <c r="RL205" s="199"/>
      <c r="RM205" s="199"/>
      <c r="RN205" s="199"/>
      <c r="RO205" s="199"/>
      <c r="RP205" s="199"/>
      <c r="RQ205" s="199"/>
      <c r="RR205" s="199"/>
      <c r="RS205" s="199"/>
      <c r="RT205" s="199"/>
      <c r="RU205" s="199"/>
      <c r="RV205" s="199"/>
      <c r="RW205" s="199"/>
      <c r="RX205" s="199"/>
      <c r="RY205" s="199"/>
      <c r="RZ205" s="199"/>
      <c r="SA205" s="199"/>
      <c r="SB205" s="199"/>
      <c r="SC205" s="199"/>
      <c r="SD205" s="199"/>
      <c r="SE205" s="199"/>
      <c r="SF205" s="199"/>
      <c r="SG205" s="199"/>
      <c r="SH205" s="199"/>
      <c r="SI205" s="199"/>
      <c r="SJ205" s="199"/>
      <c r="SK205" s="199"/>
      <c r="SL205" s="199"/>
      <c r="SM205" s="199"/>
      <c r="SN205" s="199"/>
      <c r="SO205" s="199"/>
      <c r="SP205" s="199"/>
      <c r="SQ205" s="199"/>
      <c r="SR205" s="199"/>
      <c r="SS205" s="199"/>
      <c r="ST205" s="199"/>
      <c r="SU205" s="199"/>
      <c r="SV205" s="199"/>
      <c r="SW205" s="199"/>
      <c r="SX205" s="199"/>
      <c r="SY205" s="199"/>
      <c r="SZ205" s="199"/>
      <c r="TA205" s="199"/>
      <c r="TB205" s="199"/>
      <c r="TC205" s="199"/>
      <c r="TD205" s="199"/>
      <c r="TE205" s="199"/>
      <c r="TF205" s="199"/>
      <c r="TG205" s="199"/>
      <c r="TH205" s="199"/>
      <c r="TI205" s="199"/>
      <c r="TJ205" s="199"/>
      <c r="TK205" s="199"/>
      <c r="TL205" s="199"/>
      <c r="TM205" s="199"/>
      <c r="TN205" s="199"/>
      <c r="TO205" s="199"/>
      <c r="TP205" s="199"/>
      <c r="TQ205" s="199"/>
      <c r="TR205" s="199"/>
      <c r="TS205" s="199"/>
      <c r="TT205" s="199"/>
      <c r="TU205" s="199"/>
      <c r="TV205" s="199"/>
      <c r="TW205" s="199"/>
      <c r="TX205" s="199"/>
      <c r="TY205" s="199"/>
      <c r="TZ205" s="199"/>
      <c r="UA205" s="199"/>
      <c r="UB205" s="199"/>
      <c r="UC205" s="199"/>
      <c r="UD205" s="199"/>
      <c r="UE205" s="199"/>
      <c r="UF205" s="199"/>
      <c r="UG205" s="199"/>
      <c r="UH205" s="199"/>
      <c r="UI205" s="199"/>
      <c r="UJ205" s="199"/>
      <c r="UK205" s="199"/>
      <c r="UL205" s="199"/>
      <c r="UM205" s="199"/>
      <c r="UN205" s="199"/>
      <c r="UO205" s="199"/>
      <c r="UP205" s="199"/>
      <c r="UQ205" s="199"/>
      <c r="UR205" s="199"/>
      <c r="US205" s="199"/>
      <c r="UT205" s="199"/>
      <c r="UU205" s="199"/>
      <c r="UV205" s="199"/>
      <c r="UW205" s="199"/>
      <c r="UX205" s="199"/>
      <c r="UY205" s="199"/>
      <c r="UZ205" s="199"/>
      <c r="VA205" s="199"/>
      <c r="VB205" s="199"/>
      <c r="VC205" s="199"/>
      <c r="VD205" s="199"/>
      <c r="VE205" s="199"/>
      <c r="VF205" s="199"/>
      <c r="VG205" s="199"/>
      <c r="VH205" s="199"/>
      <c r="VI205" s="199"/>
      <c r="VJ205" s="199"/>
      <c r="VK205" s="199"/>
      <c r="VL205" s="199"/>
      <c r="VM205" s="199"/>
      <c r="VN205" s="199"/>
      <c r="VO205" s="199"/>
      <c r="VP205" s="199"/>
      <c r="VQ205" s="199"/>
      <c r="VR205" s="199"/>
      <c r="VS205" s="199"/>
      <c r="VT205" s="199"/>
      <c r="VU205" s="199"/>
      <c r="VV205" s="199"/>
      <c r="VW205" s="199"/>
      <c r="VX205" s="199"/>
      <c r="VY205" s="199"/>
      <c r="VZ205" s="199"/>
      <c r="WA205" s="199"/>
      <c r="WB205" s="199"/>
      <c r="WC205" s="199"/>
      <c r="WD205" s="199"/>
      <c r="WE205" s="199"/>
      <c r="WF205" s="199"/>
      <c r="WG205" s="199"/>
      <c r="WH205" s="199"/>
      <c r="WI205" s="199"/>
      <c r="WJ205" s="199"/>
      <c r="WK205" s="199"/>
      <c r="WL205" s="199"/>
      <c r="WM205" s="199"/>
      <c r="WN205" s="199"/>
      <c r="WO205" s="199"/>
      <c r="WP205" s="199"/>
      <c r="WQ205" s="199"/>
      <c r="WR205" s="199"/>
      <c r="WS205" s="199"/>
      <c r="WT205" s="199"/>
      <c r="WU205" s="199"/>
      <c r="WV205" s="199"/>
      <c r="WW205" s="199"/>
      <c r="WX205" s="199"/>
      <c r="WY205" s="199"/>
      <c r="WZ205" s="199"/>
      <c r="XA205" s="199"/>
      <c r="XB205" s="199"/>
      <c r="XC205" s="199"/>
      <c r="XD205" s="199"/>
      <c r="XE205" s="199"/>
      <c r="XF205" s="199"/>
      <c r="XG205" s="199"/>
      <c r="XH205" s="199"/>
      <c r="XI205" s="199"/>
      <c r="XJ205" s="199"/>
      <c r="XK205" s="199"/>
      <c r="XL205" s="199"/>
      <c r="XM205" s="199"/>
      <c r="XN205" s="199"/>
      <c r="XO205" s="199"/>
      <c r="XP205" s="199"/>
      <c r="XQ205" s="199"/>
      <c r="XR205" s="199"/>
      <c r="XS205" s="199"/>
      <c r="XT205" s="199"/>
      <c r="XU205" s="199"/>
      <c r="XV205" s="199"/>
      <c r="XW205" s="199"/>
      <c r="XX205" s="199"/>
      <c r="XY205" s="199"/>
      <c r="XZ205" s="199"/>
      <c r="YA205" s="199"/>
      <c r="YB205" s="199"/>
      <c r="YC205" s="199"/>
      <c r="YD205" s="199"/>
      <c r="YE205" s="199"/>
      <c r="YF205" s="199"/>
      <c r="YG205" s="199"/>
      <c r="YH205" s="199"/>
      <c r="YI205" s="199"/>
      <c r="YJ205" s="199"/>
      <c r="YK205" s="199"/>
      <c r="YL205" s="199"/>
      <c r="YM205" s="199"/>
      <c r="YN205" s="199"/>
      <c r="YO205" s="199"/>
      <c r="YP205" s="199"/>
      <c r="YQ205" s="199"/>
      <c r="YR205" s="199"/>
      <c r="YS205" s="199"/>
      <c r="YT205" s="199"/>
      <c r="YU205" s="199"/>
      <c r="YV205" s="199"/>
      <c r="YW205" s="199"/>
      <c r="YX205" s="199"/>
      <c r="YY205" s="199"/>
      <c r="YZ205" s="199"/>
      <c r="ZA205" s="199"/>
      <c r="ZB205" s="199"/>
      <c r="ZC205" s="199"/>
      <c r="ZD205" s="199"/>
      <c r="ZE205" s="199"/>
      <c r="ZF205" s="199"/>
      <c r="ZG205" s="199"/>
      <c r="ZH205" s="199"/>
      <c r="ZI205" s="199"/>
      <c r="ZJ205" s="199"/>
      <c r="ZK205" s="199"/>
      <c r="ZL205" s="199"/>
      <c r="ZM205" s="199"/>
      <c r="ZN205" s="199"/>
      <c r="ZO205" s="199"/>
      <c r="ZP205" s="199"/>
      <c r="ZQ205" s="199"/>
      <c r="ZR205" s="199"/>
      <c r="ZS205" s="199"/>
      <c r="ZT205" s="199"/>
      <c r="ZU205" s="199"/>
      <c r="ZV205" s="199"/>
      <c r="ZW205" s="199"/>
      <c r="ZX205" s="199"/>
      <c r="ZY205" s="199"/>
      <c r="ZZ205" s="199"/>
      <c r="AAA205" s="199"/>
      <c r="AAB205" s="199"/>
      <c r="AAC205" s="199"/>
      <c r="AAD205" s="199"/>
      <c r="AAE205" s="199"/>
      <c r="AAF205" s="199"/>
      <c r="AAG205" s="199"/>
      <c r="AAH205" s="199"/>
      <c r="AAI205" s="199"/>
      <c r="AAJ205" s="199"/>
      <c r="AAK205" s="199"/>
      <c r="AAL205" s="199"/>
      <c r="AAM205" s="199"/>
      <c r="AAN205" s="199"/>
      <c r="AAO205" s="199"/>
      <c r="AAP205" s="199"/>
      <c r="AAQ205" s="199"/>
      <c r="AAR205" s="199"/>
      <c r="AAS205" s="199"/>
      <c r="AAT205" s="199"/>
      <c r="AAU205" s="199"/>
      <c r="AAV205" s="199"/>
      <c r="AAW205" s="199"/>
      <c r="AAX205" s="199"/>
      <c r="AAY205" s="199"/>
      <c r="AAZ205" s="199"/>
      <c r="ABA205" s="199"/>
      <c r="ABB205" s="199"/>
      <c r="ABC205" s="199"/>
      <c r="ABD205" s="199"/>
      <c r="ABE205" s="199"/>
      <c r="ABF205" s="199"/>
      <c r="ABG205" s="199"/>
      <c r="ABH205" s="199"/>
      <c r="ABI205" s="199"/>
      <c r="ABJ205" s="199"/>
      <c r="ABK205" s="199"/>
      <c r="ABL205" s="199"/>
      <c r="ABM205" s="199"/>
      <c r="ABN205" s="199"/>
      <c r="ABO205" s="199"/>
      <c r="ABP205" s="199"/>
      <c r="ABQ205" s="199"/>
      <c r="ABR205" s="199"/>
      <c r="ABS205" s="199"/>
      <c r="ABT205" s="199"/>
      <c r="ABU205" s="199"/>
      <c r="ABV205" s="199"/>
      <c r="ABW205" s="199"/>
      <c r="ABX205" s="199"/>
      <c r="ABY205" s="199"/>
      <c r="ABZ205" s="199"/>
      <c r="ACA205" s="199"/>
      <c r="ACB205" s="199"/>
      <c r="ACC205" s="199"/>
      <c r="ACD205" s="199"/>
      <c r="ACE205" s="199"/>
      <c r="ACF205" s="199"/>
      <c r="ACG205" s="199"/>
      <c r="ACH205" s="199"/>
      <c r="ACI205" s="199"/>
      <c r="ACJ205" s="199"/>
      <c r="ACK205" s="199"/>
      <c r="ACL205" s="199"/>
      <c r="ACM205" s="199"/>
      <c r="ACN205" s="199"/>
      <c r="ACO205" s="199"/>
      <c r="ACP205" s="199"/>
      <c r="ACQ205" s="199"/>
      <c r="ACR205" s="199"/>
      <c r="ACS205" s="199"/>
      <c r="ACT205" s="199"/>
      <c r="ACU205" s="199"/>
      <c r="ACV205" s="199"/>
      <c r="ACW205" s="199"/>
      <c r="ACX205" s="199"/>
      <c r="ACY205" s="199"/>
      <c r="ACZ205" s="199"/>
      <c r="ADA205" s="199"/>
      <c r="ADB205" s="199"/>
      <c r="ADC205" s="199"/>
      <c r="ADD205" s="199"/>
      <c r="ADE205" s="199"/>
      <c r="ADF205" s="199"/>
      <c r="ADG205" s="199"/>
      <c r="ADH205" s="199"/>
      <c r="ADI205" s="199"/>
      <c r="ADJ205" s="199"/>
      <c r="ADK205" s="199"/>
      <c r="ADL205" s="199"/>
      <c r="ADM205" s="199"/>
      <c r="ADN205" s="199"/>
      <c r="ADO205" s="199"/>
      <c r="ADP205" s="199"/>
      <c r="ADQ205" s="199"/>
      <c r="ADR205" s="199"/>
      <c r="ADS205" s="199"/>
      <c r="ADT205" s="199"/>
      <c r="ADU205" s="199"/>
      <c r="ADV205" s="199"/>
      <c r="ADW205" s="199"/>
      <c r="ADX205" s="199"/>
      <c r="ADY205" s="199"/>
      <c r="ADZ205" s="199"/>
      <c r="AEA205" s="199"/>
      <c r="AEB205" s="199"/>
      <c r="AEC205" s="199"/>
      <c r="AED205" s="199"/>
      <c r="AEE205" s="199"/>
      <c r="AEF205" s="199"/>
      <c r="AEG205" s="199"/>
      <c r="AEH205" s="199"/>
      <c r="AEI205" s="199"/>
      <c r="AEJ205" s="199"/>
      <c r="AEK205" s="199"/>
      <c r="AEL205" s="199"/>
      <c r="AEM205" s="199"/>
      <c r="AEN205" s="199"/>
      <c r="AEO205" s="199"/>
      <c r="AEP205" s="199"/>
      <c r="AEQ205" s="199"/>
      <c r="AER205" s="199"/>
      <c r="AES205" s="199"/>
      <c r="AET205" s="199"/>
      <c r="AEU205" s="199"/>
      <c r="AEV205" s="199"/>
      <c r="AEW205" s="199"/>
      <c r="AEX205" s="199"/>
      <c r="AEY205" s="199"/>
      <c r="AEZ205" s="199"/>
      <c r="AFA205" s="199"/>
      <c r="AFB205" s="199"/>
      <c r="AFC205" s="199"/>
      <c r="AFD205" s="199"/>
      <c r="AFE205" s="199"/>
      <c r="AFF205" s="199"/>
      <c r="AFG205" s="199"/>
      <c r="AFH205" s="199"/>
      <c r="AFI205" s="199"/>
      <c r="AFJ205" s="199"/>
      <c r="AFK205" s="199"/>
      <c r="AFL205" s="199"/>
      <c r="AFM205" s="199"/>
      <c r="AFN205" s="199"/>
      <c r="AFO205" s="199"/>
      <c r="AFP205" s="199"/>
      <c r="AFQ205" s="199"/>
      <c r="AFR205" s="199"/>
      <c r="AFS205" s="199"/>
      <c r="AFT205" s="199"/>
      <c r="AFU205" s="199"/>
      <c r="AFV205" s="199"/>
      <c r="AFW205" s="199"/>
      <c r="AFX205" s="199"/>
      <c r="AFY205" s="199"/>
      <c r="AFZ205" s="199"/>
      <c r="AGA205" s="199"/>
      <c r="AGB205" s="199"/>
      <c r="AGC205" s="199"/>
      <c r="AGD205" s="199"/>
      <c r="AGE205" s="199"/>
      <c r="AGF205" s="199"/>
      <c r="AGG205" s="199"/>
      <c r="AGH205" s="199"/>
      <c r="AGI205" s="199"/>
      <c r="AGJ205" s="199"/>
      <c r="AGK205" s="199"/>
      <c r="AGL205" s="199"/>
      <c r="AGM205" s="199"/>
      <c r="AGN205" s="199"/>
      <c r="AGO205" s="199"/>
      <c r="AGP205" s="199"/>
      <c r="AGQ205" s="199"/>
      <c r="AGR205" s="199"/>
      <c r="AGS205" s="199"/>
      <c r="AGT205" s="199"/>
      <c r="AGU205" s="199"/>
      <c r="AGV205" s="199"/>
      <c r="AGW205" s="199"/>
      <c r="AGX205" s="199"/>
      <c r="AGY205" s="199"/>
      <c r="AGZ205" s="199"/>
      <c r="AHA205" s="199"/>
      <c r="AHB205" s="199"/>
      <c r="AHC205" s="199"/>
      <c r="AHD205" s="199"/>
      <c r="AHE205" s="199"/>
      <c r="AHF205" s="199"/>
      <c r="AHG205" s="199"/>
      <c r="AHH205" s="199"/>
      <c r="AHI205" s="199"/>
      <c r="AHJ205" s="199"/>
      <c r="AHK205" s="199"/>
      <c r="AHL205" s="199"/>
      <c r="AHM205" s="199"/>
      <c r="AHN205" s="199"/>
      <c r="AHO205" s="199"/>
      <c r="AHP205" s="199"/>
      <c r="AHQ205" s="199"/>
      <c r="AHR205" s="199"/>
      <c r="AHS205" s="199"/>
      <c r="AHT205" s="199"/>
      <c r="AHU205" s="199"/>
      <c r="AHV205" s="199"/>
      <c r="AHW205" s="199"/>
      <c r="AHX205" s="199"/>
      <c r="AHY205" s="199"/>
      <c r="AHZ205" s="199"/>
      <c r="AIA205" s="199"/>
      <c r="AIB205" s="199"/>
      <c r="AIC205" s="199"/>
      <c r="AID205" s="199"/>
      <c r="AIE205" s="199"/>
      <c r="AIF205" s="199"/>
      <c r="AIG205" s="199"/>
      <c r="AIH205" s="199"/>
      <c r="AII205" s="199"/>
      <c r="AIJ205" s="199"/>
      <c r="AIK205" s="199"/>
      <c r="AIL205" s="199"/>
      <c r="AIM205" s="199"/>
      <c r="AIN205" s="199"/>
      <c r="AIO205" s="199"/>
      <c r="AIP205" s="199"/>
      <c r="AIQ205" s="199"/>
      <c r="AIR205" s="199"/>
      <c r="AIS205" s="199"/>
      <c r="AIT205" s="199"/>
      <c r="AIU205" s="199"/>
      <c r="AIV205" s="199"/>
      <c r="AIW205" s="199"/>
      <c r="AIX205" s="199"/>
      <c r="AIY205" s="199"/>
      <c r="AIZ205" s="199"/>
      <c r="AJA205" s="199"/>
      <c r="AJB205" s="199"/>
      <c r="AJC205" s="199"/>
      <c r="AJD205" s="199"/>
      <c r="AJE205" s="199"/>
      <c r="AJF205" s="199"/>
      <c r="AJG205" s="199"/>
      <c r="AJH205" s="199"/>
      <c r="AJI205" s="199"/>
      <c r="AJJ205" s="199"/>
      <c r="AJK205" s="199"/>
      <c r="AJL205" s="199"/>
      <c r="AJM205" s="199"/>
      <c r="AJN205" s="199"/>
      <c r="AJO205" s="199"/>
      <c r="AJP205" s="199"/>
      <c r="AJQ205" s="199"/>
      <c r="AJR205" s="199"/>
      <c r="AJS205" s="199"/>
      <c r="AJT205" s="199"/>
      <c r="AJU205" s="199"/>
      <c r="AJV205" s="199"/>
      <c r="AJW205" s="199"/>
      <c r="AJX205" s="199"/>
      <c r="AJY205" s="199"/>
      <c r="AJZ205" s="199"/>
      <c r="AKA205" s="199"/>
      <c r="AKB205" s="199"/>
      <c r="AKC205" s="199"/>
      <c r="AKD205" s="199"/>
      <c r="AKE205" s="199"/>
      <c r="AKF205" s="199"/>
      <c r="AKG205" s="199"/>
      <c r="AKH205" s="199"/>
      <c r="AKI205" s="199"/>
      <c r="AKJ205" s="199"/>
      <c r="AKK205" s="199"/>
      <c r="AKL205" s="199"/>
      <c r="AKM205" s="199"/>
      <c r="AKN205" s="199"/>
      <c r="AKO205" s="199"/>
      <c r="AKP205" s="199"/>
      <c r="AKQ205" s="199"/>
      <c r="AKR205" s="199"/>
      <c r="AKS205" s="199"/>
      <c r="AKT205" s="199"/>
      <c r="AKU205" s="199"/>
      <c r="AKV205" s="199"/>
      <c r="AKW205" s="199"/>
      <c r="AKX205" s="199"/>
      <c r="AKY205" s="199"/>
      <c r="AKZ205" s="199"/>
      <c r="ALA205" s="199"/>
      <c r="ALB205" s="199"/>
      <c r="ALC205" s="199"/>
      <c r="ALD205" s="199"/>
      <c r="ALE205" s="199"/>
      <c r="ALF205" s="199"/>
      <c r="ALG205" s="199"/>
      <c r="ALH205" s="199"/>
      <c r="ALI205" s="199"/>
      <c r="ALJ205" s="199"/>
      <c r="ALK205" s="199"/>
      <c r="ALL205" s="199"/>
      <c r="ALM205" s="199"/>
      <c r="ALN205" s="199"/>
      <c r="ALO205" s="199"/>
      <c r="ALP205" s="199"/>
      <c r="ALQ205" s="199"/>
      <c r="ALR205" s="199"/>
      <c r="ALS205" s="199"/>
      <c r="ALT205" s="199"/>
      <c r="ALU205" s="199"/>
      <c r="ALV205" s="199"/>
      <c r="ALW205" s="199"/>
      <c r="ALX205" s="199"/>
      <c r="ALY205" s="199"/>
      <c r="ALZ205" s="199"/>
      <c r="AMA205" s="199"/>
      <c r="AMB205" s="199"/>
      <c r="AMC205" s="199"/>
      <c r="AMD205" s="199"/>
      <c r="AME205" s="199"/>
      <c r="AMF205" s="199"/>
      <c r="AMG205" s="199"/>
      <c r="AMH205" s="199"/>
      <c r="AMI205" s="199"/>
      <c r="AMJ205" s="199"/>
      <c r="AMK205" s="199"/>
      <c r="AML205" s="199"/>
      <c r="AMM205" s="199"/>
      <c r="AMN205" s="199"/>
      <c r="AMO205" s="199"/>
      <c r="AMP205" s="199"/>
      <c r="AMQ205" s="199"/>
      <c r="AMR205" s="199"/>
      <c r="AMS205" s="199"/>
      <c r="AMT205" s="199"/>
      <c r="AMU205" s="199"/>
      <c r="AMV205" s="199"/>
      <c r="AMW205" s="199"/>
      <c r="AMX205" s="199"/>
      <c r="AMY205" s="199"/>
      <c r="AMZ205" s="199"/>
      <c r="ANA205" s="199"/>
      <c r="ANB205" s="199"/>
      <c r="ANC205" s="199"/>
      <c r="AND205" s="199"/>
      <c r="ANE205" s="199"/>
      <c r="ANF205" s="199"/>
      <c r="ANG205" s="199"/>
      <c r="ANH205" s="199"/>
      <c r="ANI205" s="199"/>
      <c r="ANJ205" s="199"/>
      <c r="ANK205" s="199"/>
      <c r="ANL205" s="199"/>
      <c r="ANM205" s="199"/>
      <c r="ANN205" s="199"/>
      <c r="ANO205" s="199"/>
      <c r="ANP205" s="199"/>
      <c r="ANQ205" s="199"/>
      <c r="ANR205" s="199"/>
      <c r="ANS205" s="199"/>
      <c r="ANT205" s="199"/>
      <c r="ANU205" s="199"/>
      <c r="ANV205" s="199"/>
      <c r="ANW205" s="199"/>
      <c r="ANX205" s="199"/>
      <c r="ANY205" s="199"/>
      <c r="ANZ205" s="199"/>
      <c r="AOA205" s="199"/>
      <c r="AOB205" s="199"/>
      <c r="AOC205" s="199"/>
      <c r="AOD205" s="199"/>
      <c r="AOE205" s="199"/>
      <c r="AOF205" s="199"/>
      <c r="AOG205" s="199"/>
      <c r="AOH205" s="199"/>
      <c r="AOI205" s="199"/>
      <c r="AOJ205" s="199"/>
      <c r="AOK205" s="199"/>
      <c r="AOL205" s="199"/>
      <c r="AOM205" s="199"/>
      <c r="AON205" s="199"/>
      <c r="AOO205" s="199"/>
      <c r="AOP205" s="199"/>
      <c r="AOQ205" s="199"/>
      <c r="AOR205" s="199"/>
      <c r="AOS205" s="199"/>
      <c r="AOT205" s="199"/>
      <c r="AOU205" s="199"/>
      <c r="AOV205" s="199"/>
      <c r="AOW205" s="199"/>
      <c r="AOX205" s="199"/>
      <c r="AOY205" s="199"/>
      <c r="AOZ205" s="199"/>
      <c r="APA205" s="199"/>
      <c r="APB205" s="199"/>
      <c r="APC205" s="199"/>
      <c r="APD205" s="199"/>
      <c r="APE205" s="199"/>
      <c r="APF205" s="199"/>
      <c r="APG205" s="199"/>
      <c r="APH205" s="199"/>
      <c r="API205" s="199"/>
      <c r="APJ205" s="199"/>
      <c r="APK205" s="199"/>
      <c r="APL205" s="199"/>
      <c r="APM205" s="199"/>
      <c r="APN205" s="199"/>
      <c r="APO205" s="199"/>
      <c r="APP205" s="199"/>
      <c r="APQ205" s="199"/>
      <c r="APR205" s="199"/>
      <c r="APS205" s="199"/>
      <c r="APT205" s="199"/>
      <c r="APU205" s="199"/>
      <c r="APV205" s="199"/>
      <c r="APW205" s="199"/>
      <c r="APX205" s="199"/>
      <c r="APY205" s="199"/>
      <c r="APZ205" s="199"/>
      <c r="AQA205" s="199"/>
      <c r="AQB205" s="199"/>
      <c r="AQC205" s="199"/>
      <c r="AQD205" s="199"/>
      <c r="AQE205" s="199"/>
      <c r="AQF205" s="199"/>
      <c r="AQG205" s="199"/>
      <c r="AQH205" s="199"/>
      <c r="AQI205" s="199"/>
      <c r="AQJ205" s="199"/>
      <c r="AQK205" s="199"/>
      <c r="AQL205" s="199"/>
      <c r="AQM205" s="199"/>
      <c r="AQN205" s="199"/>
      <c r="AQO205" s="199"/>
      <c r="AQP205" s="199"/>
      <c r="AQQ205" s="199"/>
      <c r="AQR205" s="199"/>
      <c r="AQS205" s="199"/>
      <c r="AQT205" s="199"/>
      <c r="AQU205" s="199"/>
      <c r="AQV205" s="199"/>
      <c r="AQW205" s="199"/>
      <c r="AQX205" s="199"/>
      <c r="AQY205" s="199"/>
      <c r="AQZ205" s="199"/>
      <c r="ARA205" s="199"/>
      <c r="ARB205" s="199"/>
      <c r="ARC205" s="199"/>
      <c r="ARD205" s="199"/>
      <c r="ARE205" s="199"/>
      <c r="ARF205" s="199"/>
      <c r="ARG205" s="199"/>
      <c r="ARH205" s="199"/>
      <c r="ARI205" s="199"/>
      <c r="ARJ205" s="199"/>
      <c r="ARK205" s="199"/>
      <c r="ARL205" s="199"/>
      <c r="ARM205" s="199"/>
      <c r="ARN205" s="199"/>
      <c r="ARO205" s="199"/>
      <c r="ARP205" s="199"/>
      <c r="ARQ205" s="199"/>
      <c r="ARR205" s="199"/>
      <c r="ARS205" s="199"/>
      <c r="ART205" s="199"/>
      <c r="ARU205" s="199"/>
      <c r="ARV205" s="199"/>
      <c r="ARW205" s="199"/>
      <c r="ARX205" s="199"/>
      <c r="ARY205" s="199"/>
      <c r="ARZ205" s="199"/>
      <c r="ASA205" s="199"/>
      <c r="ASB205" s="199"/>
      <c r="ASC205" s="199"/>
      <c r="ASD205" s="199"/>
      <c r="ASE205" s="199"/>
      <c r="ASF205" s="199"/>
      <c r="ASG205" s="199"/>
      <c r="ASH205" s="199"/>
      <c r="ASI205" s="199"/>
      <c r="ASJ205" s="199"/>
      <c r="ASK205" s="199"/>
      <c r="ASL205" s="199"/>
      <c r="ASM205" s="199"/>
      <c r="ASN205" s="199"/>
      <c r="ASO205" s="199"/>
      <c r="ASP205" s="199"/>
      <c r="ASQ205" s="199"/>
      <c r="ASR205" s="199"/>
      <c r="ASS205" s="199"/>
      <c r="AST205" s="199"/>
      <c r="ASU205" s="199"/>
      <c r="ASV205" s="199"/>
      <c r="ASW205" s="199"/>
      <c r="ASX205" s="199"/>
      <c r="ASY205" s="199"/>
      <c r="ASZ205" s="199"/>
      <c r="ATA205" s="199"/>
      <c r="ATB205" s="199"/>
      <c r="ATC205" s="199"/>
      <c r="ATD205" s="199"/>
      <c r="ATE205" s="199"/>
      <c r="ATF205" s="199"/>
      <c r="ATG205" s="199"/>
      <c r="ATH205" s="199"/>
      <c r="ATI205" s="199"/>
      <c r="ATJ205" s="199"/>
      <c r="ATK205" s="199"/>
      <c r="ATL205" s="199"/>
      <c r="ATM205" s="199"/>
      <c r="ATN205" s="199"/>
      <c r="ATO205" s="199"/>
      <c r="ATP205" s="199"/>
      <c r="ATQ205" s="199"/>
      <c r="ATR205" s="199"/>
      <c r="ATS205" s="199"/>
      <c r="ATT205" s="199"/>
      <c r="ATU205" s="199"/>
      <c r="ATV205" s="199"/>
      <c r="ATW205" s="199"/>
      <c r="ATX205" s="199"/>
      <c r="ATY205" s="199"/>
      <c r="ATZ205" s="199"/>
      <c r="AUA205" s="199"/>
      <c r="AUB205" s="199"/>
      <c r="AUC205" s="199"/>
      <c r="AUD205" s="199"/>
      <c r="AUE205" s="199"/>
      <c r="AUF205" s="199"/>
      <c r="AUG205" s="199"/>
      <c r="AUH205" s="199"/>
      <c r="AUI205" s="199"/>
      <c r="AUJ205" s="199"/>
      <c r="AUK205" s="199"/>
      <c r="AUL205" s="199"/>
      <c r="AUM205" s="199"/>
      <c r="AUN205" s="199"/>
      <c r="AUO205" s="199"/>
      <c r="AUP205" s="199"/>
      <c r="AUQ205" s="199"/>
      <c r="AUR205" s="199"/>
      <c r="AUS205" s="199"/>
      <c r="AUT205" s="199"/>
      <c r="AUU205" s="199"/>
      <c r="AUV205" s="199"/>
      <c r="AUW205" s="199"/>
      <c r="AUX205" s="199"/>
      <c r="AUY205" s="199"/>
      <c r="AUZ205" s="199"/>
      <c r="AVA205" s="199"/>
      <c r="AVB205" s="199"/>
      <c r="AVC205" s="199"/>
      <c r="AVD205" s="199"/>
      <c r="AVE205" s="199"/>
      <c r="AVF205" s="199"/>
      <c r="AVG205" s="199"/>
      <c r="AVH205" s="199"/>
      <c r="AVI205" s="199"/>
      <c r="AVJ205" s="199"/>
      <c r="AVK205" s="199"/>
      <c r="AVL205" s="199"/>
      <c r="AVM205" s="199"/>
      <c r="AVN205" s="199"/>
      <c r="AVO205" s="199"/>
      <c r="AVP205" s="199"/>
      <c r="AVQ205" s="199"/>
      <c r="AVR205" s="199"/>
      <c r="AVS205" s="199"/>
      <c r="AVT205" s="199"/>
      <c r="AVU205" s="199"/>
      <c r="AVV205" s="199"/>
      <c r="AVW205" s="199"/>
      <c r="AVX205" s="199"/>
      <c r="AVY205" s="199"/>
      <c r="AVZ205" s="199"/>
      <c r="AWA205" s="199"/>
      <c r="AWB205" s="199"/>
      <c r="AWC205" s="199"/>
      <c r="AWD205" s="199"/>
      <c r="AWE205" s="199"/>
      <c r="AWF205" s="199"/>
      <c r="AWG205" s="199"/>
      <c r="AWH205" s="199"/>
      <c r="AWI205" s="199"/>
      <c r="AWJ205" s="199"/>
      <c r="AWK205" s="199"/>
      <c r="AWL205" s="199"/>
      <c r="AWM205" s="199"/>
      <c r="AWN205" s="199"/>
      <c r="AWO205" s="199"/>
      <c r="AWP205" s="199"/>
      <c r="AWQ205" s="199"/>
      <c r="AWR205" s="199"/>
      <c r="AWS205" s="199"/>
      <c r="AWT205" s="199"/>
      <c r="AWU205" s="199"/>
      <c r="AWV205" s="199"/>
      <c r="AWW205" s="199"/>
      <c r="AWX205" s="199"/>
      <c r="AWY205" s="199"/>
      <c r="AWZ205" s="199"/>
      <c r="AXA205" s="199"/>
      <c r="AXB205" s="199"/>
      <c r="AXC205" s="199"/>
      <c r="AXD205" s="199"/>
      <c r="AXE205" s="199"/>
      <c r="AXF205" s="199"/>
      <c r="AXG205" s="199"/>
      <c r="AXH205" s="199"/>
      <c r="AXI205" s="199"/>
      <c r="AXJ205" s="199"/>
      <c r="AXK205" s="199"/>
      <c r="AXL205" s="199"/>
      <c r="AXM205" s="199"/>
      <c r="AXN205" s="199"/>
      <c r="AXO205" s="199"/>
      <c r="AXP205" s="199"/>
      <c r="AXQ205" s="199"/>
      <c r="AXR205" s="199"/>
      <c r="AXS205" s="199"/>
      <c r="AXT205" s="199"/>
      <c r="AXU205" s="199"/>
      <c r="AXV205" s="199"/>
      <c r="AXW205" s="199"/>
      <c r="AXX205" s="199"/>
      <c r="AXY205" s="199"/>
      <c r="AXZ205" s="199"/>
      <c r="AYA205" s="199"/>
      <c r="AYB205" s="199"/>
      <c r="AYC205" s="199"/>
      <c r="AYD205" s="199"/>
      <c r="AYE205" s="199"/>
      <c r="AYF205" s="199"/>
      <c r="AYG205" s="199"/>
      <c r="AYH205" s="199"/>
      <c r="AYI205" s="199"/>
      <c r="AYJ205" s="199"/>
      <c r="AYK205" s="199"/>
      <c r="AYL205" s="199"/>
      <c r="AYM205" s="199"/>
      <c r="AYN205" s="199"/>
      <c r="AYO205" s="199"/>
      <c r="AYP205" s="199"/>
      <c r="AYQ205" s="199"/>
      <c r="AYR205" s="199"/>
      <c r="AYS205" s="199"/>
      <c r="AYT205" s="199"/>
      <c r="AYU205" s="199"/>
      <c r="AYV205" s="199"/>
      <c r="AYW205" s="199"/>
      <c r="AYX205" s="199"/>
      <c r="AYY205" s="199"/>
      <c r="AYZ205" s="199"/>
      <c r="AZA205" s="199"/>
      <c r="AZB205" s="199"/>
      <c r="AZC205" s="199"/>
      <c r="AZD205" s="199"/>
      <c r="AZE205" s="199"/>
      <c r="AZF205" s="199"/>
      <c r="AZG205" s="199"/>
      <c r="AZH205" s="199"/>
      <c r="AZI205" s="199"/>
      <c r="AZJ205" s="199"/>
      <c r="AZK205" s="199"/>
      <c r="AZL205" s="199"/>
      <c r="AZM205" s="199"/>
      <c r="AZN205" s="199"/>
      <c r="AZO205" s="199"/>
      <c r="AZP205" s="199"/>
      <c r="AZQ205" s="199"/>
      <c r="AZR205" s="199"/>
      <c r="AZS205" s="199"/>
      <c r="AZT205" s="199"/>
      <c r="AZU205" s="199"/>
      <c r="AZV205" s="199"/>
      <c r="AZW205" s="199"/>
      <c r="AZX205" s="199"/>
      <c r="AZY205" s="199"/>
      <c r="AZZ205" s="199"/>
      <c r="BAA205" s="199"/>
      <c r="BAB205" s="199"/>
      <c r="BAC205" s="199"/>
      <c r="BAD205" s="199"/>
      <c r="BAE205" s="199"/>
      <c r="BAF205" s="199"/>
      <c r="BAG205" s="199"/>
      <c r="BAH205" s="199"/>
      <c r="BAI205" s="199"/>
      <c r="BAJ205" s="199"/>
      <c r="BAK205" s="199"/>
      <c r="BAL205" s="199"/>
      <c r="BAM205" s="199"/>
      <c r="BAN205" s="199"/>
      <c r="BAO205" s="199"/>
      <c r="BAP205" s="199"/>
      <c r="BAQ205" s="199"/>
      <c r="BAR205" s="199"/>
      <c r="BAS205" s="199"/>
      <c r="BAT205" s="199"/>
      <c r="BAU205" s="199"/>
      <c r="BAV205" s="199"/>
      <c r="BAW205" s="199"/>
      <c r="BAX205" s="199"/>
      <c r="BAY205" s="199"/>
      <c r="BAZ205" s="199"/>
      <c r="BBA205" s="199"/>
      <c r="BBB205" s="199"/>
      <c r="BBC205" s="199"/>
      <c r="BBD205" s="199"/>
      <c r="BBE205" s="199"/>
      <c r="BBF205" s="199"/>
      <c r="BBG205" s="199"/>
      <c r="BBH205" s="199"/>
      <c r="BBI205" s="199"/>
      <c r="BBJ205" s="199"/>
      <c r="BBK205" s="199"/>
      <c r="BBL205" s="199"/>
      <c r="BBM205" s="199"/>
      <c r="BBN205" s="199"/>
      <c r="BBO205" s="199"/>
      <c r="BBP205" s="199"/>
      <c r="BBQ205" s="199"/>
      <c r="BBR205" s="199"/>
      <c r="BBS205" s="199"/>
      <c r="BBT205" s="199"/>
      <c r="BBU205" s="199"/>
      <c r="BBV205" s="199"/>
      <c r="BBW205" s="199"/>
      <c r="BBX205" s="199"/>
      <c r="BBY205" s="199"/>
      <c r="BBZ205" s="199"/>
      <c r="BCA205" s="199"/>
      <c r="BCB205" s="199"/>
      <c r="BCC205" s="199"/>
      <c r="BCD205" s="199"/>
      <c r="BCE205" s="199"/>
      <c r="BCF205" s="199"/>
      <c r="BCG205" s="199"/>
      <c r="BCH205" s="199"/>
      <c r="BCI205" s="199"/>
      <c r="BCJ205" s="199"/>
      <c r="BCK205" s="199"/>
      <c r="BCL205" s="199"/>
      <c r="BCM205" s="199"/>
      <c r="BCN205" s="199"/>
      <c r="BCO205" s="199"/>
      <c r="BCP205" s="199"/>
      <c r="BCQ205" s="199"/>
      <c r="BCR205" s="199"/>
      <c r="BCS205" s="199"/>
      <c r="BCT205" s="199"/>
      <c r="BCU205" s="199"/>
      <c r="BCV205" s="199"/>
      <c r="BCW205" s="199"/>
      <c r="BCX205" s="199"/>
      <c r="BCY205" s="199"/>
      <c r="BCZ205" s="199"/>
      <c r="BDA205" s="199"/>
      <c r="BDB205" s="199"/>
      <c r="BDC205" s="199"/>
      <c r="BDD205" s="199"/>
      <c r="BDE205" s="199"/>
      <c r="BDF205" s="199"/>
      <c r="BDG205" s="199"/>
      <c r="BDH205" s="199"/>
      <c r="BDI205" s="199"/>
      <c r="BDJ205" s="199"/>
      <c r="BDK205" s="199"/>
      <c r="BDL205" s="199"/>
      <c r="BDM205" s="199"/>
      <c r="BDN205" s="199"/>
      <c r="BDO205" s="199"/>
      <c r="BDP205" s="199"/>
      <c r="BDQ205" s="199"/>
      <c r="BDR205" s="199"/>
      <c r="BDS205" s="199"/>
      <c r="BDT205" s="199"/>
      <c r="BDU205" s="199"/>
      <c r="BDV205" s="199"/>
      <c r="BDW205" s="199"/>
      <c r="BDX205" s="199"/>
      <c r="BDY205" s="199"/>
      <c r="BDZ205" s="199"/>
      <c r="BEA205" s="199"/>
      <c r="BEB205" s="199"/>
      <c r="BEC205" s="199"/>
      <c r="BED205" s="199"/>
      <c r="BEE205" s="199"/>
      <c r="BEF205" s="199"/>
      <c r="BEG205" s="199"/>
      <c r="BEH205" s="199"/>
      <c r="BEI205" s="199"/>
      <c r="BEJ205" s="199"/>
      <c r="BEK205" s="199"/>
      <c r="BEL205" s="199"/>
      <c r="BEM205" s="199"/>
      <c r="BEN205" s="199"/>
      <c r="BEO205" s="199"/>
      <c r="BEP205" s="199"/>
      <c r="BEQ205" s="199"/>
      <c r="BER205" s="199"/>
      <c r="BES205" s="199"/>
      <c r="BET205" s="199"/>
      <c r="BEU205" s="199"/>
      <c r="BEV205" s="199"/>
      <c r="BEW205" s="199"/>
      <c r="BEX205" s="199"/>
      <c r="BEY205" s="199"/>
      <c r="BEZ205" s="199"/>
      <c r="BFA205" s="199"/>
      <c r="BFB205" s="199"/>
      <c r="BFC205" s="199"/>
      <c r="BFD205" s="199"/>
      <c r="BFE205" s="199"/>
      <c r="BFF205" s="199"/>
      <c r="BFG205" s="199"/>
      <c r="BFH205" s="199"/>
      <c r="BFI205" s="199"/>
      <c r="BFJ205" s="199"/>
      <c r="BFK205" s="199"/>
      <c r="BFL205" s="199"/>
      <c r="BFM205" s="199"/>
      <c r="BFN205" s="199"/>
      <c r="BFO205" s="199"/>
      <c r="BFP205" s="199"/>
      <c r="BFQ205" s="199"/>
      <c r="BFR205" s="199"/>
      <c r="BFS205" s="199"/>
      <c r="BFT205" s="199"/>
      <c r="BFU205" s="199"/>
      <c r="BFV205" s="199"/>
      <c r="BFW205" s="199"/>
      <c r="BFX205" s="199"/>
      <c r="BFY205" s="199"/>
      <c r="BFZ205" s="199"/>
      <c r="BGA205" s="199"/>
      <c r="BGB205" s="199"/>
      <c r="BGC205" s="199"/>
      <c r="BGD205" s="199"/>
      <c r="BGE205" s="199"/>
      <c r="BGF205" s="199"/>
      <c r="BGG205" s="199"/>
      <c r="BGH205" s="199"/>
      <c r="BGI205" s="199"/>
      <c r="BGJ205" s="199"/>
      <c r="BGK205" s="199"/>
      <c r="BGL205" s="199"/>
      <c r="BGM205" s="199"/>
      <c r="BGN205" s="199"/>
      <c r="BGO205" s="199"/>
      <c r="BGP205" s="199"/>
      <c r="BGQ205" s="199"/>
      <c r="BGR205" s="199"/>
      <c r="BGS205" s="199"/>
      <c r="BGT205" s="199"/>
      <c r="BGU205" s="199"/>
      <c r="BGV205" s="199"/>
      <c r="BGW205" s="199"/>
      <c r="BGX205" s="199"/>
      <c r="BGY205" s="199"/>
      <c r="BGZ205" s="199"/>
      <c r="BHA205" s="199"/>
      <c r="BHB205" s="199"/>
      <c r="BHC205" s="199"/>
      <c r="BHD205" s="199"/>
      <c r="BHE205" s="199"/>
      <c r="BHF205" s="199"/>
      <c r="BHG205" s="199"/>
      <c r="BHH205" s="199"/>
      <c r="BHI205" s="199"/>
      <c r="BHJ205" s="199"/>
      <c r="BHK205" s="199"/>
      <c r="BHL205" s="199"/>
      <c r="BHM205" s="199"/>
      <c r="BHN205" s="199"/>
      <c r="BHO205" s="199"/>
      <c r="BHP205" s="199"/>
      <c r="BHQ205" s="199"/>
      <c r="BHR205" s="199"/>
      <c r="BHS205" s="199"/>
      <c r="BHT205" s="199"/>
      <c r="BHU205" s="199"/>
      <c r="BHV205" s="199"/>
      <c r="BHW205" s="199"/>
      <c r="BHX205" s="199"/>
      <c r="BHY205" s="199"/>
      <c r="BHZ205" s="199"/>
      <c r="BIA205" s="199"/>
      <c r="BIB205" s="199"/>
      <c r="BIC205" s="199"/>
      <c r="BID205" s="199"/>
      <c r="BIE205" s="199"/>
      <c r="BIF205" s="199"/>
      <c r="BIG205" s="199"/>
      <c r="BIH205" s="199"/>
      <c r="BII205" s="199"/>
      <c r="BIJ205" s="199"/>
      <c r="BIK205" s="199"/>
      <c r="BIL205" s="199"/>
      <c r="BIM205" s="199"/>
      <c r="BIN205" s="199"/>
      <c r="BIO205" s="199"/>
      <c r="BIP205" s="199"/>
      <c r="BIQ205" s="199"/>
      <c r="BIR205" s="199"/>
      <c r="BIS205" s="199"/>
      <c r="BIT205" s="199"/>
      <c r="BIU205" s="199"/>
      <c r="BIV205" s="199"/>
      <c r="BIW205" s="199"/>
      <c r="BIX205" s="199"/>
      <c r="BIY205" s="199"/>
      <c r="BIZ205" s="199"/>
      <c r="BJA205" s="199"/>
      <c r="BJB205" s="199"/>
      <c r="BJC205" s="199"/>
      <c r="BJD205" s="199"/>
      <c r="BJE205" s="199"/>
      <c r="BJF205" s="199"/>
      <c r="BJG205" s="199"/>
      <c r="BJH205" s="199"/>
      <c r="BJI205" s="199"/>
      <c r="BJJ205" s="199"/>
      <c r="BJK205" s="199"/>
      <c r="BJL205" s="199"/>
      <c r="BJM205" s="199"/>
      <c r="BJN205" s="199"/>
      <c r="BJO205" s="199"/>
      <c r="BJP205" s="199"/>
      <c r="BJQ205" s="199"/>
      <c r="BJR205" s="199"/>
      <c r="BJS205" s="199"/>
      <c r="BJT205" s="199"/>
      <c r="BJU205" s="199"/>
      <c r="BJV205" s="199"/>
      <c r="BJW205" s="199"/>
      <c r="BJX205" s="199"/>
      <c r="BJY205" s="199"/>
      <c r="BJZ205" s="199"/>
      <c r="BKA205" s="199"/>
      <c r="BKB205" s="199"/>
      <c r="BKC205" s="199"/>
      <c r="BKD205" s="199"/>
      <c r="BKE205" s="199"/>
      <c r="BKF205" s="199"/>
      <c r="BKG205" s="199"/>
      <c r="BKH205" s="199"/>
      <c r="BKI205" s="199"/>
      <c r="BKJ205" s="199"/>
      <c r="BKK205" s="199"/>
      <c r="BKL205" s="199"/>
      <c r="BKM205" s="199"/>
      <c r="BKN205" s="199"/>
      <c r="BKO205" s="199"/>
      <c r="BKP205" s="199"/>
      <c r="BKQ205" s="199"/>
      <c r="BKR205" s="199"/>
      <c r="BKS205" s="199"/>
      <c r="BKT205" s="199"/>
      <c r="BKU205" s="199"/>
      <c r="BKV205" s="199"/>
      <c r="BKW205" s="199"/>
      <c r="BKX205" s="199"/>
      <c r="BKY205" s="199"/>
      <c r="BKZ205" s="199"/>
      <c r="BLA205" s="199"/>
      <c r="BLB205" s="199"/>
      <c r="BLC205" s="199"/>
      <c r="BLD205" s="199"/>
      <c r="BLE205" s="199"/>
      <c r="BLF205" s="199"/>
      <c r="BLG205" s="199"/>
      <c r="BLH205" s="199"/>
      <c r="BLI205" s="199"/>
      <c r="BLJ205" s="199"/>
      <c r="BLK205" s="199"/>
      <c r="BLL205" s="199"/>
      <c r="BLM205" s="199"/>
      <c r="BLN205" s="199"/>
      <c r="BLO205" s="199"/>
      <c r="BLP205" s="199"/>
      <c r="BLQ205" s="199"/>
      <c r="BLR205" s="199"/>
      <c r="BLS205" s="199"/>
      <c r="BLT205" s="199"/>
      <c r="BLU205" s="199"/>
      <c r="BLV205" s="199"/>
      <c r="BLW205" s="199"/>
      <c r="BLX205" s="199"/>
      <c r="BLY205" s="199"/>
      <c r="BLZ205" s="199"/>
      <c r="BMA205" s="199"/>
      <c r="BMB205" s="199"/>
      <c r="BMC205" s="199"/>
      <c r="BMD205" s="199"/>
      <c r="BME205" s="199"/>
      <c r="BMF205" s="199"/>
      <c r="BMG205" s="199"/>
      <c r="BMH205" s="199"/>
      <c r="BMI205" s="199"/>
      <c r="BMJ205" s="199"/>
      <c r="BMK205" s="199"/>
      <c r="BML205" s="199"/>
      <c r="BMM205" s="199"/>
      <c r="BMN205" s="199"/>
      <c r="BMO205" s="199"/>
      <c r="BMP205" s="199"/>
      <c r="BMQ205" s="199"/>
      <c r="BMR205" s="199"/>
      <c r="BMS205" s="199"/>
      <c r="BMT205" s="199"/>
      <c r="BMU205" s="199"/>
      <c r="BMV205" s="199"/>
      <c r="BMW205" s="199"/>
      <c r="BMX205" s="199"/>
      <c r="BMY205" s="199"/>
      <c r="BMZ205" s="199"/>
      <c r="BNA205" s="199"/>
      <c r="BNB205" s="199"/>
      <c r="BNC205" s="199"/>
      <c r="BND205" s="199"/>
      <c r="BNE205" s="199"/>
      <c r="BNF205" s="199"/>
      <c r="BNG205" s="199"/>
      <c r="BNH205" s="199"/>
      <c r="BNI205" s="199"/>
      <c r="BNJ205" s="199"/>
      <c r="BNK205" s="199"/>
      <c r="BNL205" s="199"/>
      <c r="BNM205" s="199"/>
      <c r="BNN205" s="199"/>
      <c r="BNO205" s="199"/>
      <c r="BNP205" s="199"/>
      <c r="BNQ205" s="199"/>
      <c r="BNR205" s="199"/>
      <c r="BNS205" s="199"/>
      <c r="BNT205" s="199"/>
      <c r="BNU205" s="199"/>
      <c r="BNV205" s="199"/>
      <c r="BNW205" s="199"/>
      <c r="BNX205" s="199"/>
      <c r="BNY205" s="199"/>
      <c r="BNZ205" s="199"/>
      <c r="BOA205" s="199"/>
      <c r="BOB205" s="199"/>
      <c r="BOC205" s="199"/>
      <c r="BOD205" s="199"/>
      <c r="BOE205" s="199"/>
      <c r="BOF205" s="199"/>
      <c r="BOG205" s="199"/>
      <c r="BOH205" s="199"/>
      <c r="BOI205" s="199"/>
      <c r="BOJ205" s="199"/>
      <c r="BOK205" s="199"/>
      <c r="BOL205" s="199"/>
      <c r="BOM205" s="199"/>
      <c r="BON205" s="199"/>
      <c r="BOO205" s="199"/>
      <c r="BOP205" s="199"/>
      <c r="BOQ205" s="199"/>
      <c r="BOR205" s="199"/>
      <c r="BOS205" s="199"/>
      <c r="BOT205" s="199"/>
      <c r="BOU205" s="199"/>
      <c r="BOV205" s="199"/>
      <c r="BOW205" s="199"/>
      <c r="BOX205" s="199"/>
      <c r="BOY205" s="199"/>
      <c r="BOZ205" s="199"/>
      <c r="BPA205" s="199"/>
      <c r="BPB205" s="199"/>
      <c r="BPC205" s="199"/>
      <c r="BPD205" s="199"/>
      <c r="BPE205" s="199"/>
      <c r="BPF205" s="199"/>
      <c r="BPG205" s="199"/>
      <c r="BPH205" s="199"/>
      <c r="BPI205" s="199"/>
      <c r="BPJ205" s="199"/>
      <c r="BPK205" s="199"/>
      <c r="BPL205" s="199"/>
      <c r="BPM205" s="199"/>
      <c r="BPN205" s="199"/>
      <c r="BPO205" s="199"/>
      <c r="BPP205" s="199"/>
      <c r="BPQ205" s="199"/>
      <c r="BPR205" s="199"/>
      <c r="BPS205" s="199"/>
      <c r="BPT205" s="199"/>
      <c r="BPU205" s="199"/>
      <c r="BPV205" s="199"/>
      <c r="BPW205" s="199"/>
      <c r="BPX205" s="199"/>
      <c r="BPY205" s="199"/>
      <c r="BPZ205" s="199"/>
      <c r="BQA205" s="199"/>
      <c r="BQB205" s="199"/>
      <c r="BQC205" s="199"/>
      <c r="BQD205" s="199"/>
      <c r="BQE205" s="199"/>
      <c r="BQF205" s="199"/>
      <c r="BQG205" s="199"/>
      <c r="BQH205" s="199"/>
      <c r="BQI205" s="199"/>
      <c r="BQJ205" s="199"/>
      <c r="BQK205" s="199"/>
      <c r="BQL205" s="199"/>
      <c r="BQM205" s="199"/>
      <c r="BQN205" s="199"/>
      <c r="BQO205" s="199"/>
      <c r="BQP205" s="199"/>
      <c r="BQQ205" s="199"/>
      <c r="BQR205" s="199"/>
      <c r="BQS205" s="199"/>
      <c r="BQT205" s="199"/>
      <c r="BQU205" s="199"/>
      <c r="BQV205" s="199"/>
      <c r="BQW205" s="199"/>
      <c r="BQX205" s="199"/>
      <c r="BQY205" s="199"/>
      <c r="BQZ205" s="199"/>
      <c r="BRA205" s="199"/>
      <c r="BRB205" s="199"/>
      <c r="BRC205" s="199"/>
      <c r="BRD205" s="199"/>
      <c r="BRE205" s="199"/>
      <c r="BRF205" s="199"/>
      <c r="BRG205" s="199"/>
      <c r="BRH205" s="199"/>
      <c r="BRI205" s="199"/>
      <c r="BRJ205" s="199"/>
      <c r="BRK205" s="199"/>
      <c r="BRL205" s="199"/>
      <c r="BRM205" s="199"/>
      <c r="BRN205" s="199"/>
      <c r="BRO205" s="199"/>
      <c r="BRP205" s="199"/>
      <c r="BRQ205" s="199"/>
      <c r="BRR205" s="199"/>
      <c r="BRS205" s="199"/>
      <c r="BRT205" s="199"/>
      <c r="BRU205" s="199"/>
      <c r="BRV205" s="199"/>
      <c r="BRW205" s="199"/>
      <c r="BRX205" s="199"/>
      <c r="BRY205" s="199"/>
      <c r="BRZ205" s="199"/>
      <c r="BSA205" s="199"/>
      <c r="BSB205" s="199"/>
      <c r="BSC205" s="199"/>
      <c r="BSD205" s="199"/>
      <c r="BSE205" s="199"/>
      <c r="BSF205" s="199"/>
      <c r="BSG205" s="199"/>
      <c r="BSH205" s="199"/>
      <c r="BSI205" s="199"/>
      <c r="BSJ205" s="199"/>
      <c r="BSK205" s="199"/>
      <c r="BSL205" s="199"/>
      <c r="BSM205" s="199"/>
      <c r="BSN205" s="199"/>
      <c r="BSO205" s="199"/>
      <c r="BSP205" s="199"/>
      <c r="BSQ205" s="199"/>
      <c r="BSR205" s="199"/>
      <c r="BSS205" s="199"/>
      <c r="BST205" s="199"/>
      <c r="BSU205" s="199"/>
      <c r="BSV205" s="199"/>
      <c r="BSW205" s="199"/>
      <c r="BSX205" s="199"/>
      <c r="BSY205" s="199"/>
      <c r="BSZ205" s="199"/>
      <c r="BTA205" s="199"/>
      <c r="BTB205" s="199"/>
      <c r="BTC205" s="199"/>
      <c r="BTD205" s="199"/>
      <c r="BTE205" s="199"/>
      <c r="BTF205" s="199"/>
      <c r="BTG205" s="199"/>
      <c r="BTH205" s="199"/>
      <c r="BTI205" s="199"/>
      <c r="BTJ205" s="199"/>
      <c r="BTK205" s="199"/>
      <c r="BTL205" s="199"/>
      <c r="BTM205" s="199"/>
      <c r="BTN205" s="199"/>
      <c r="BTO205" s="199"/>
      <c r="BTP205" s="199"/>
      <c r="BTQ205" s="199"/>
      <c r="BTR205" s="199"/>
      <c r="BTS205" s="199"/>
      <c r="BTT205" s="199"/>
      <c r="BTU205" s="199"/>
      <c r="BTV205" s="199"/>
      <c r="BTW205" s="199"/>
      <c r="BTX205" s="199"/>
      <c r="BTY205" s="199"/>
      <c r="BTZ205" s="199"/>
      <c r="BUA205" s="199"/>
      <c r="BUB205" s="199"/>
      <c r="BUC205" s="199"/>
      <c r="BUD205" s="199"/>
      <c r="BUE205" s="199"/>
      <c r="BUF205" s="199"/>
      <c r="BUG205" s="199"/>
      <c r="BUH205" s="199"/>
      <c r="BUI205" s="199"/>
      <c r="BUJ205" s="199"/>
      <c r="BUK205" s="199"/>
      <c r="BUL205" s="199"/>
      <c r="BUM205" s="199"/>
      <c r="BUN205" s="199"/>
      <c r="BUO205" s="199"/>
      <c r="BUP205" s="199"/>
      <c r="BUQ205" s="199"/>
      <c r="BUR205" s="199"/>
      <c r="BUS205" s="199"/>
      <c r="BUT205" s="199"/>
      <c r="BUU205" s="199"/>
      <c r="BUV205" s="199"/>
      <c r="BUW205" s="199"/>
      <c r="BUX205" s="199"/>
      <c r="BUY205" s="199"/>
      <c r="BUZ205" s="199"/>
      <c r="BVA205" s="199"/>
      <c r="BVB205" s="199"/>
      <c r="BVC205" s="199"/>
      <c r="BVD205" s="199"/>
      <c r="BVE205" s="199"/>
      <c r="BVF205" s="199"/>
      <c r="BVG205" s="199"/>
      <c r="BVH205" s="199"/>
      <c r="BVI205" s="199"/>
      <c r="BVJ205" s="199"/>
      <c r="BVK205" s="199"/>
      <c r="BVL205" s="199"/>
      <c r="BVM205" s="199"/>
      <c r="BVN205" s="199"/>
      <c r="BVO205" s="199"/>
      <c r="BVP205" s="199"/>
      <c r="BVQ205" s="199"/>
      <c r="BVR205" s="199"/>
      <c r="BVS205" s="199"/>
      <c r="BVT205" s="199"/>
      <c r="BVU205" s="199"/>
      <c r="BVV205" s="199"/>
      <c r="BVW205" s="199"/>
      <c r="BVX205" s="199"/>
      <c r="BVY205" s="199"/>
      <c r="BVZ205" s="199"/>
      <c r="BWA205" s="199"/>
      <c r="BWB205" s="199"/>
      <c r="BWC205" s="199"/>
      <c r="BWD205" s="199"/>
      <c r="BWE205" s="199"/>
      <c r="BWF205" s="199"/>
      <c r="BWG205" s="199"/>
      <c r="BWH205" s="199"/>
      <c r="BWI205" s="199"/>
      <c r="BWJ205" s="199"/>
      <c r="BWK205" s="199"/>
      <c r="BWL205" s="199"/>
      <c r="BWM205" s="199"/>
      <c r="BWN205" s="199"/>
      <c r="BWO205" s="199"/>
      <c r="BWP205" s="199"/>
      <c r="BWQ205" s="199"/>
      <c r="BWR205" s="199"/>
      <c r="BWS205" s="199"/>
      <c r="BWT205" s="199"/>
      <c r="BWU205" s="199"/>
      <c r="BWV205" s="199"/>
      <c r="BWW205" s="199"/>
      <c r="BWX205" s="199"/>
      <c r="BWY205" s="199"/>
      <c r="BWZ205" s="199"/>
      <c r="BXA205" s="199"/>
      <c r="BXB205" s="199"/>
      <c r="BXC205" s="199"/>
      <c r="BXD205" s="199"/>
      <c r="BXE205" s="199"/>
      <c r="BXF205" s="199"/>
      <c r="BXG205" s="199"/>
      <c r="BXH205" s="199"/>
      <c r="BXI205" s="199"/>
      <c r="BXJ205" s="199"/>
      <c r="BXK205" s="199"/>
      <c r="BXL205" s="199"/>
      <c r="BXM205" s="199"/>
      <c r="BXN205" s="199"/>
      <c r="BXO205" s="199"/>
      <c r="BXP205" s="199"/>
      <c r="BXQ205" s="199"/>
      <c r="BXR205" s="199"/>
      <c r="BXS205" s="199"/>
      <c r="BXT205" s="199"/>
      <c r="BXU205" s="199"/>
      <c r="BXV205" s="199"/>
      <c r="BXW205" s="199"/>
      <c r="BXX205" s="199"/>
      <c r="BXY205" s="199"/>
      <c r="BXZ205" s="199"/>
      <c r="BYA205" s="199"/>
      <c r="BYB205" s="199"/>
      <c r="BYC205" s="199"/>
      <c r="BYD205" s="199"/>
      <c r="BYE205" s="199"/>
      <c r="BYF205" s="199"/>
      <c r="BYG205" s="199"/>
      <c r="BYH205" s="199"/>
      <c r="BYI205" s="199"/>
      <c r="BYJ205" s="199"/>
      <c r="BYK205" s="199"/>
      <c r="BYL205" s="199"/>
      <c r="BYM205" s="199"/>
      <c r="BYN205" s="199"/>
      <c r="BYO205" s="199"/>
      <c r="BYP205" s="199"/>
      <c r="BYQ205" s="199"/>
      <c r="BYR205" s="199"/>
      <c r="BYS205" s="199"/>
      <c r="BYT205" s="199"/>
      <c r="BYU205" s="199"/>
      <c r="BYV205" s="199"/>
      <c r="BYW205" s="199"/>
      <c r="BYX205" s="199"/>
      <c r="BYY205" s="199"/>
      <c r="BYZ205" s="199"/>
      <c r="BZA205" s="199"/>
      <c r="BZB205" s="199"/>
      <c r="BZC205" s="199"/>
      <c r="BZD205" s="199"/>
      <c r="BZE205" s="199"/>
      <c r="BZF205" s="199"/>
      <c r="BZG205" s="199"/>
      <c r="BZH205" s="199"/>
      <c r="BZI205" s="199"/>
      <c r="BZJ205" s="199"/>
      <c r="BZK205" s="199"/>
      <c r="BZL205" s="199"/>
      <c r="BZM205" s="199"/>
      <c r="BZN205" s="199"/>
      <c r="BZO205" s="199"/>
      <c r="BZP205" s="199"/>
      <c r="BZQ205" s="199"/>
      <c r="BZR205" s="199"/>
      <c r="BZS205" s="199"/>
      <c r="BZT205" s="199"/>
      <c r="BZU205" s="199"/>
      <c r="BZV205" s="199"/>
      <c r="BZW205" s="199"/>
      <c r="BZX205" s="199"/>
      <c r="BZY205" s="199"/>
      <c r="BZZ205" s="199"/>
      <c r="CAA205" s="199"/>
      <c r="CAB205" s="199"/>
      <c r="CAC205" s="199"/>
      <c r="CAD205" s="199"/>
      <c r="CAE205" s="199"/>
      <c r="CAF205" s="199"/>
      <c r="CAG205" s="199"/>
      <c r="CAH205" s="199"/>
      <c r="CAI205" s="199"/>
      <c r="CAJ205" s="199"/>
      <c r="CAK205" s="199"/>
      <c r="CAL205" s="199"/>
      <c r="CAM205" s="199"/>
      <c r="CAN205" s="199"/>
      <c r="CAO205" s="199"/>
      <c r="CAP205" s="199"/>
      <c r="CAQ205" s="199"/>
      <c r="CAR205" s="199"/>
      <c r="CAS205" s="199"/>
      <c r="CAT205" s="199"/>
      <c r="CAU205" s="199"/>
      <c r="CAV205" s="199"/>
      <c r="CAW205" s="199"/>
      <c r="CAX205" s="199"/>
      <c r="CAY205" s="199"/>
      <c r="CAZ205" s="199"/>
      <c r="CBA205" s="199"/>
      <c r="CBB205" s="199"/>
      <c r="CBC205" s="199"/>
      <c r="CBD205" s="199"/>
      <c r="CBE205" s="199"/>
      <c r="CBF205" s="199"/>
      <c r="CBG205" s="199"/>
      <c r="CBH205" s="199"/>
      <c r="CBI205" s="199"/>
      <c r="CBJ205" s="199"/>
      <c r="CBK205" s="199"/>
      <c r="CBL205" s="199"/>
      <c r="CBM205" s="199"/>
      <c r="CBN205" s="199"/>
      <c r="CBO205" s="199"/>
      <c r="CBP205" s="199"/>
      <c r="CBQ205" s="199"/>
      <c r="CBR205" s="199"/>
      <c r="CBS205" s="199"/>
      <c r="CBT205" s="199"/>
      <c r="CBU205" s="199"/>
      <c r="CBV205" s="199"/>
      <c r="CBW205" s="199"/>
      <c r="CBX205" s="199"/>
      <c r="CBY205" s="199"/>
      <c r="CBZ205" s="199"/>
      <c r="CCA205" s="199"/>
      <c r="CCB205" s="199"/>
      <c r="CCC205" s="199"/>
      <c r="CCD205" s="199"/>
      <c r="CCE205" s="199"/>
      <c r="CCF205" s="199"/>
      <c r="CCG205" s="199"/>
      <c r="CCH205" s="199"/>
      <c r="CCI205" s="199"/>
      <c r="CCJ205" s="199"/>
      <c r="CCK205" s="199"/>
      <c r="CCL205" s="199"/>
      <c r="CCM205" s="199"/>
      <c r="CCN205" s="199"/>
      <c r="CCO205" s="199"/>
      <c r="CCP205" s="199"/>
      <c r="CCQ205" s="199"/>
      <c r="CCR205" s="199"/>
      <c r="CCS205" s="199"/>
      <c r="CCT205" s="199"/>
      <c r="CCU205" s="199"/>
      <c r="CCV205" s="199"/>
      <c r="CCW205" s="199"/>
      <c r="CCX205" s="199"/>
      <c r="CCY205" s="199"/>
      <c r="CCZ205" s="199"/>
      <c r="CDA205" s="199"/>
      <c r="CDB205" s="199"/>
      <c r="CDC205" s="199"/>
      <c r="CDD205" s="199"/>
      <c r="CDE205" s="199"/>
      <c r="CDF205" s="199"/>
      <c r="CDG205" s="199"/>
      <c r="CDH205" s="199"/>
      <c r="CDI205" s="199"/>
      <c r="CDJ205" s="199"/>
      <c r="CDK205" s="199"/>
      <c r="CDL205" s="199"/>
      <c r="CDM205" s="199"/>
      <c r="CDN205" s="199"/>
      <c r="CDO205" s="199"/>
      <c r="CDP205" s="199"/>
      <c r="CDQ205" s="199"/>
      <c r="CDR205" s="199"/>
      <c r="CDS205" s="199"/>
      <c r="CDT205" s="199"/>
      <c r="CDU205" s="199"/>
      <c r="CDV205" s="199"/>
      <c r="CDW205" s="199"/>
      <c r="CDX205" s="199"/>
      <c r="CDY205" s="199"/>
      <c r="CDZ205" s="199"/>
      <c r="CEA205" s="199"/>
      <c r="CEB205" s="199"/>
      <c r="CEC205" s="199"/>
      <c r="CED205" s="199"/>
      <c r="CEE205" s="199"/>
      <c r="CEF205" s="199"/>
      <c r="CEG205" s="199"/>
      <c r="CEH205" s="199"/>
      <c r="CEI205" s="199"/>
      <c r="CEJ205" s="199"/>
      <c r="CEK205" s="199"/>
      <c r="CEL205" s="199"/>
      <c r="CEM205" s="199"/>
      <c r="CEN205" s="199"/>
      <c r="CEO205" s="199"/>
      <c r="CEP205" s="199"/>
      <c r="CEQ205" s="199"/>
      <c r="CER205" s="199"/>
      <c r="CES205" s="199"/>
      <c r="CET205" s="199"/>
      <c r="CEU205" s="199"/>
      <c r="CEV205" s="199"/>
      <c r="CEW205" s="199"/>
      <c r="CEX205" s="199"/>
      <c r="CEY205" s="199"/>
      <c r="CEZ205" s="199"/>
      <c r="CFA205" s="199"/>
      <c r="CFB205" s="199"/>
      <c r="CFC205" s="199"/>
      <c r="CFD205" s="199"/>
      <c r="CFE205" s="199"/>
      <c r="CFF205" s="199"/>
      <c r="CFG205" s="199"/>
      <c r="CFH205" s="199"/>
      <c r="CFI205" s="199"/>
      <c r="CFJ205" s="199"/>
      <c r="CFK205" s="199"/>
      <c r="CFL205" s="199"/>
      <c r="CFM205" s="199"/>
      <c r="CFN205" s="199"/>
      <c r="CFO205" s="199"/>
      <c r="CFP205" s="199"/>
      <c r="CFQ205" s="199"/>
      <c r="CFR205" s="199"/>
      <c r="CFS205" s="199"/>
      <c r="CFT205" s="199"/>
      <c r="CFU205" s="199"/>
      <c r="CFV205" s="199"/>
      <c r="CFW205" s="199"/>
      <c r="CFX205" s="199"/>
      <c r="CFY205" s="199"/>
      <c r="CFZ205" s="199"/>
      <c r="CGA205" s="199"/>
      <c r="CGB205" s="199"/>
      <c r="CGC205" s="199"/>
      <c r="CGD205" s="199"/>
      <c r="CGE205" s="199"/>
      <c r="CGF205" s="199"/>
      <c r="CGG205" s="199"/>
      <c r="CGH205" s="199"/>
      <c r="CGI205" s="199"/>
      <c r="CGJ205" s="199"/>
      <c r="CGK205" s="199"/>
      <c r="CGL205" s="199"/>
      <c r="CGM205" s="199"/>
      <c r="CGN205" s="199"/>
      <c r="CGO205" s="199"/>
      <c r="CGP205" s="199"/>
      <c r="CGQ205" s="199"/>
      <c r="CGR205" s="199"/>
      <c r="CGS205" s="199"/>
      <c r="CGT205" s="199"/>
      <c r="CGU205" s="199"/>
      <c r="CGV205" s="199"/>
      <c r="CGW205" s="199"/>
      <c r="CGX205" s="199"/>
      <c r="CGY205" s="199"/>
      <c r="CGZ205" s="199"/>
      <c r="CHA205" s="199"/>
      <c r="CHB205" s="199"/>
      <c r="CHC205" s="199"/>
      <c r="CHD205" s="199"/>
      <c r="CHE205" s="199"/>
      <c r="CHF205" s="199"/>
      <c r="CHG205" s="199"/>
      <c r="CHH205" s="199"/>
      <c r="CHI205" s="199"/>
      <c r="CHJ205" s="199"/>
      <c r="CHK205" s="199"/>
      <c r="CHL205" s="199"/>
      <c r="CHM205" s="199"/>
      <c r="CHN205" s="199"/>
      <c r="CHO205" s="199"/>
      <c r="CHP205" s="199"/>
      <c r="CHQ205" s="199"/>
      <c r="CHR205" s="199"/>
      <c r="CHS205" s="199"/>
      <c r="CHT205" s="199"/>
      <c r="CHU205" s="199"/>
      <c r="CHV205" s="199"/>
      <c r="CHW205" s="199"/>
      <c r="CHX205" s="199"/>
      <c r="CHY205" s="199"/>
      <c r="CHZ205" s="199"/>
      <c r="CIA205" s="199"/>
      <c r="CIB205" s="199"/>
      <c r="CIC205" s="199"/>
      <c r="CID205" s="199"/>
      <c r="CIE205" s="199"/>
      <c r="CIF205" s="199"/>
      <c r="CIG205" s="199"/>
      <c r="CIH205" s="199"/>
      <c r="CII205" s="199"/>
      <c r="CIJ205" s="199"/>
      <c r="CIK205" s="199"/>
      <c r="CIL205" s="199"/>
      <c r="CIM205" s="199"/>
      <c r="CIN205" s="199"/>
      <c r="CIO205" s="199"/>
      <c r="CIP205" s="199"/>
      <c r="CIQ205" s="199"/>
      <c r="CIR205" s="199"/>
      <c r="CIS205" s="199"/>
      <c r="CIT205" s="199"/>
      <c r="CIU205" s="199"/>
      <c r="CIV205" s="199"/>
      <c r="CIW205" s="199"/>
      <c r="CIX205" s="199"/>
      <c r="CIY205" s="199"/>
      <c r="CIZ205" s="199"/>
      <c r="CJA205" s="199"/>
      <c r="CJB205" s="199"/>
      <c r="CJC205" s="199"/>
      <c r="CJD205" s="199"/>
      <c r="CJE205" s="199"/>
      <c r="CJF205" s="199"/>
      <c r="CJG205" s="199"/>
      <c r="CJH205" s="199"/>
      <c r="CJI205" s="199"/>
      <c r="CJJ205" s="199"/>
      <c r="CJK205" s="199"/>
      <c r="CJL205" s="199"/>
      <c r="CJM205" s="199"/>
      <c r="CJN205" s="199"/>
      <c r="CJO205" s="199"/>
      <c r="CJP205" s="199"/>
      <c r="CJQ205" s="199"/>
      <c r="CJR205" s="199"/>
      <c r="CJS205" s="199"/>
      <c r="CJT205" s="199"/>
      <c r="CJU205" s="199"/>
      <c r="CJV205" s="199"/>
      <c r="CJW205" s="199"/>
      <c r="CJX205" s="199"/>
      <c r="CJY205" s="199"/>
      <c r="CJZ205" s="199"/>
      <c r="CKA205" s="199"/>
      <c r="CKB205" s="199"/>
      <c r="CKC205" s="199"/>
      <c r="CKD205" s="199"/>
      <c r="CKE205" s="199"/>
      <c r="CKF205" s="199"/>
      <c r="CKG205" s="199"/>
      <c r="CKH205" s="199"/>
      <c r="CKI205" s="199"/>
      <c r="CKJ205" s="199"/>
      <c r="CKK205" s="199"/>
      <c r="CKL205" s="199"/>
      <c r="CKM205" s="199"/>
      <c r="CKN205" s="199"/>
      <c r="CKO205" s="199"/>
      <c r="CKP205" s="199"/>
      <c r="CKQ205" s="199"/>
      <c r="CKR205" s="199"/>
      <c r="CKS205" s="199"/>
      <c r="CKT205" s="199"/>
      <c r="CKU205" s="199"/>
      <c r="CKV205" s="199"/>
      <c r="CKW205" s="199"/>
      <c r="CKX205" s="199"/>
      <c r="CKY205" s="199"/>
      <c r="CKZ205" s="199"/>
      <c r="CLA205" s="199"/>
      <c r="CLB205" s="199"/>
      <c r="CLC205" s="199"/>
      <c r="CLD205" s="199"/>
      <c r="CLE205" s="199"/>
      <c r="CLF205" s="199"/>
      <c r="CLG205" s="199"/>
      <c r="CLH205" s="199"/>
      <c r="CLI205" s="199"/>
      <c r="CLJ205" s="199"/>
      <c r="CLK205" s="199"/>
      <c r="CLL205" s="199"/>
      <c r="CLM205" s="199"/>
      <c r="CLN205" s="199"/>
      <c r="CLO205" s="199"/>
      <c r="CLP205" s="199"/>
      <c r="CLQ205" s="199"/>
      <c r="CLR205" s="199"/>
      <c r="CLS205" s="199"/>
      <c r="CLT205" s="199"/>
      <c r="CLU205" s="199"/>
      <c r="CLV205" s="199"/>
      <c r="CLW205" s="199"/>
      <c r="CLX205" s="199"/>
      <c r="CLY205" s="199"/>
      <c r="CLZ205" s="199"/>
      <c r="CMA205" s="199"/>
      <c r="CMB205" s="199"/>
      <c r="CMC205" s="199"/>
      <c r="CMD205" s="199"/>
      <c r="CME205" s="199"/>
      <c r="CMF205" s="199"/>
      <c r="CMG205" s="199"/>
      <c r="CMH205" s="199"/>
      <c r="CMI205" s="199"/>
      <c r="CMJ205" s="199"/>
      <c r="CMK205" s="199"/>
      <c r="CML205" s="199"/>
      <c r="CMM205" s="199"/>
      <c r="CMN205" s="199"/>
      <c r="CMO205" s="199"/>
      <c r="CMP205" s="199"/>
      <c r="CMQ205" s="199"/>
      <c r="CMR205" s="199"/>
      <c r="CMS205" s="199"/>
      <c r="CMT205" s="199"/>
      <c r="CMU205" s="199"/>
      <c r="CMV205" s="199"/>
      <c r="CMW205" s="199"/>
      <c r="CMX205" s="199"/>
      <c r="CMY205" s="199"/>
      <c r="CMZ205" s="199"/>
      <c r="CNA205" s="199"/>
      <c r="CNB205" s="199"/>
      <c r="CNC205" s="199"/>
      <c r="CND205" s="199"/>
      <c r="CNE205" s="199"/>
      <c r="CNF205" s="199"/>
      <c r="CNG205" s="199"/>
      <c r="CNH205" s="199"/>
      <c r="CNI205" s="199"/>
      <c r="CNJ205" s="199"/>
      <c r="CNK205" s="199"/>
      <c r="CNL205" s="199"/>
      <c r="CNM205" s="199"/>
      <c r="CNN205" s="199"/>
      <c r="CNO205" s="199"/>
      <c r="CNP205" s="199"/>
      <c r="CNQ205" s="199"/>
      <c r="CNR205" s="199"/>
      <c r="CNS205" s="199"/>
      <c r="CNT205" s="199"/>
      <c r="CNU205" s="199"/>
      <c r="CNV205" s="199"/>
      <c r="CNW205" s="199"/>
      <c r="CNX205" s="199"/>
      <c r="CNY205" s="199"/>
      <c r="CNZ205" s="199"/>
      <c r="COA205" s="199"/>
      <c r="COB205" s="199"/>
      <c r="COC205" s="199"/>
      <c r="COD205" s="199"/>
      <c r="COE205" s="199"/>
      <c r="COF205" s="199"/>
      <c r="COG205" s="199"/>
      <c r="COH205" s="199"/>
      <c r="COI205" s="199"/>
      <c r="COJ205" s="199"/>
      <c r="COK205" s="199"/>
      <c r="COL205" s="199"/>
      <c r="COM205" s="199"/>
      <c r="CON205" s="199"/>
      <c r="COO205" s="199"/>
      <c r="COP205" s="199"/>
      <c r="COQ205" s="199"/>
      <c r="COR205" s="199"/>
      <c r="COS205" s="199"/>
      <c r="COT205" s="199"/>
      <c r="COU205" s="199"/>
      <c r="COV205" s="199"/>
      <c r="COW205" s="199"/>
      <c r="COX205" s="199"/>
      <c r="COY205" s="199"/>
      <c r="COZ205" s="199"/>
      <c r="CPA205" s="199"/>
      <c r="CPB205" s="199"/>
      <c r="CPC205" s="199"/>
      <c r="CPD205" s="199"/>
      <c r="CPE205" s="199"/>
      <c r="CPF205" s="199"/>
      <c r="CPG205" s="199"/>
      <c r="CPH205" s="199"/>
      <c r="CPI205" s="199"/>
      <c r="CPJ205" s="199"/>
      <c r="CPK205" s="199"/>
      <c r="CPL205" s="199"/>
      <c r="CPM205" s="199"/>
      <c r="CPN205" s="199"/>
      <c r="CPO205" s="199"/>
      <c r="CPP205" s="199"/>
      <c r="CPQ205" s="199"/>
      <c r="CPR205" s="199"/>
      <c r="CPS205" s="199"/>
      <c r="CPT205" s="199"/>
      <c r="CPU205" s="199"/>
      <c r="CPV205" s="199"/>
      <c r="CPW205" s="199"/>
      <c r="CPX205" s="199"/>
      <c r="CPY205" s="199"/>
      <c r="CPZ205" s="199"/>
      <c r="CQA205" s="199"/>
      <c r="CQB205" s="199"/>
      <c r="CQC205" s="199"/>
      <c r="CQD205" s="199"/>
      <c r="CQE205" s="199"/>
      <c r="CQF205" s="199"/>
      <c r="CQG205" s="199"/>
      <c r="CQH205" s="199"/>
      <c r="CQI205" s="199"/>
      <c r="CQJ205" s="199"/>
      <c r="CQK205" s="199"/>
      <c r="CQL205" s="199"/>
      <c r="CQM205" s="199"/>
      <c r="CQN205" s="199"/>
      <c r="CQO205" s="199"/>
      <c r="CQP205" s="199"/>
      <c r="CQQ205" s="199"/>
      <c r="CQR205" s="199"/>
      <c r="CQS205" s="199"/>
      <c r="CQT205" s="199"/>
      <c r="CQU205" s="199"/>
      <c r="CQV205" s="199"/>
      <c r="CQW205" s="199"/>
      <c r="CQX205" s="199"/>
      <c r="CQY205" s="199"/>
      <c r="CQZ205" s="199"/>
      <c r="CRA205" s="199"/>
      <c r="CRB205" s="199"/>
      <c r="CRC205" s="199"/>
      <c r="CRD205" s="199"/>
      <c r="CRE205" s="199"/>
      <c r="CRF205" s="199"/>
      <c r="CRG205" s="199"/>
      <c r="CRH205" s="199"/>
      <c r="CRI205" s="199"/>
      <c r="CRJ205" s="199"/>
      <c r="CRK205" s="199"/>
      <c r="CRL205" s="199"/>
      <c r="CRM205" s="199"/>
      <c r="CRN205" s="199"/>
      <c r="CRO205" s="199"/>
      <c r="CRP205" s="199"/>
      <c r="CRQ205" s="199"/>
      <c r="CRR205" s="199"/>
      <c r="CRS205" s="199"/>
      <c r="CRT205" s="199"/>
      <c r="CRU205" s="199"/>
      <c r="CRV205" s="199"/>
      <c r="CRW205" s="199"/>
      <c r="CRX205" s="199"/>
      <c r="CRY205" s="199"/>
      <c r="CRZ205" s="199"/>
      <c r="CSA205" s="199"/>
      <c r="CSB205" s="199"/>
      <c r="CSC205" s="199"/>
      <c r="CSD205" s="199"/>
      <c r="CSE205" s="199"/>
      <c r="CSF205" s="199"/>
      <c r="CSG205" s="199"/>
      <c r="CSH205" s="199"/>
      <c r="CSI205" s="199"/>
      <c r="CSJ205" s="199"/>
      <c r="CSK205" s="199"/>
      <c r="CSL205" s="199"/>
      <c r="CSM205" s="199"/>
      <c r="CSN205" s="199"/>
      <c r="CSO205" s="199"/>
      <c r="CSP205" s="199"/>
      <c r="CSQ205" s="199"/>
      <c r="CSR205" s="199"/>
      <c r="CSS205" s="199"/>
      <c r="CST205" s="199"/>
      <c r="CSU205" s="199"/>
      <c r="CSV205" s="199"/>
      <c r="CSW205" s="199"/>
      <c r="CSX205" s="199"/>
      <c r="CSY205" s="199"/>
      <c r="CSZ205" s="199"/>
      <c r="CTA205" s="199"/>
      <c r="CTB205" s="199"/>
      <c r="CTC205" s="199"/>
      <c r="CTD205" s="199"/>
      <c r="CTE205" s="199"/>
      <c r="CTF205" s="199"/>
      <c r="CTG205" s="199"/>
      <c r="CTH205" s="199"/>
      <c r="CTI205" s="199"/>
      <c r="CTJ205" s="199"/>
      <c r="CTK205" s="199"/>
      <c r="CTL205" s="199"/>
      <c r="CTM205" s="199"/>
      <c r="CTN205" s="199"/>
      <c r="CTO205" s="199"/>
      <c r="CTP205" s="199"/>
      <c r="CTQ205" s="199"/>
      <c r="CTR205" s="199"/>
      <c r="CTS205" s="199"/>
      <c r="CTT205" s="199"/>
      <c r="CTU205" s="199"/>
      <c r="CTV205" s="199"/>
      <c r="CTW205" s="199"/>
      <c r="CTX205" s="199"/>
      <c r="CTY205" s="199"/>
      <c r="CTZ205" s="199"/>
      <c r="CUA205" s="199"/>
      <c r="CUB205" s="199"/>
      <c r="CUC205" s="199"/>
      <c r="CUD205" s="199"/>
      <c r="CUE205" s="199"/>
      <c r="CUF205" s="199"/>
      <c r="CUG205" s="199"/>
      <c r="CUH205" s="199"/>
      <c r="CUI205" s="199"/>
      <c r="CUJ205" s="199"/>
      <c r="CUK205" s="199"/>
      <c r="CUL205" s="199"/>
      <c r="CUM205" s="199"/>
      <c r="CUN205" s="199"/>
      <c r="CUO205" s="199"/>
      <c r="CUP205" s="199"/>
      <c r="CUQ205" s="199"/>
      <c r="CUR205" s="199"/>
      <c r="CUS205" s="199"/>
      <c r="CUT205" s="199"/>
      <c r="CUU205" s="199"/>
      <c r="CUV205" s="199"/>
      <c r="CUW205" s="199"/>
      <c r="CUX205" s="199"/>
      <c r="CUY205" s="199"/>
      <c r="CUZ205" s="199"/>
      <c r="CVA205" s="199"/>
      <c r="CVB205" s="199"/>
      <c r="CVC205" s="199"/>
      <c r="CVD205" s="199"/>
      <c r="CVE205" s="199"/>
      <c r="CVF205" s="199"/>
      <c r="CVG205" s="199"/>
      <c r="CVH205" s="199"/>
      <c r="CVI205" s="199"/>
      <c r="CVJ205" s="199"/>
      <c r="CVK205" s="199"/>
      <c r="CVL205" s="199"/>
      <c r="CVM205" s="199"/>
      <c r="CVN205" s="199"/>
      <c r="CVO205" s="199"/>
      <c r="CVP205" s="199"/>
      <c r="CVQ205" s="199"/>
      <c r="CVR205" s="199"/>
      <c r="CVS205" s="199"/>
      <c r="CVT205" s="199"/>
      <c r="CVU205" s="199"/>
      <c r="CVV205" s="199"/>
      <c r="CVW205" s="199"/>
      <c r="CVX205" s="199"/>
      <c r="CVY205" s="199"/>
      <c r="CVZ205" s="199"/>
      <c r="CWA205" s="199"/>
      <c r="CWB205" s="199"/>
      <c r="CWC205" s="199"/>
      <c r="CWD205" s="199"/>
      <c r="CWE205" s="199"/>
      <c r="CWF205" s="199"/>
      <c r="CWG205" s="199"/>
      <c r="CWH205" s="199"/>
      <c r="CWI205" s="199"/>
      <c r="CWJ205" s="199"/>
      <c r="CWK205" s="199"/>
      <c r="CWL205" s="199"/>
      <c r="CWM205" s="199"/>
      <c r="CWN205" s="199"/>
      <c r="CWO205" s="199"/>
      <c r="CWP205" s="199"/>
      <c r="CWQ205" s="199"/>
      <c r="CWR205" s="199"/>
      <c r="CWS205" s="199"/>
      <c r="CWT205" s="199"/>
      <c r="CWU205" s="199"/>
      <c r="CWV205" s="199"/>
      <c r="CWW205" s="199"/>
      <c r="CWX205" s="199"/>
      <c r="CWY205" s="199"/>
      <c r="CWZ205" s="199"/>
      <c r="CXA205" s="199"/>
      <c r="CXB205" s="199"/>
      <c r="CXC205" s="199"/>
      <c r="CXD205" s="199"/>
      <c r="CXE205" s="199"/>
      <c r="CXF205" s="199"/>
      <c r="CXG205" s="199"/>
      <c r="CXH205" s="199"/>
      <c r="CXI205" s="199"/>
      <c r="CXJ205" s="199"/>
      <c r="CXK205" s="199"/>
      <c r="CXL205" s="199"/>
      <c r="CXM205" s="199"/>
      <c r="CXN205" s="199"/>
      <c r="CXO205" s="199"/>
      <c r="CXP205" s="199"/>
      <c r="CXQ205" s="199"/>
      <c r="CXR205" s="199"/>
      <c r="CXS205" s="199"/>
      <c r="CXT205" s="199"/>
      <c r="CXU205" s="199"/>
      <c r="CXV205" s="199"/>
      <c r="CXW205" s="199"/>
      <c r="CXX205" s="199"/>
      <c r="CXY205" s="199"/>
      <c r="CXZ205" s="199"/>
      <c r="CYA205" s="199"/>
      <c r="CYB205" s="199"/>
      <c r="CYC205" s="199"/>
      <c r="CYD205" s="199"/>
      <c r="CYE205" s="199"/>
      <c r="CYF205" s="199"/>
      <c r="CYG205" s="199"/>
      <c r="CYH205" s="199"/>
      <c r="CYI205" s="199"/>
      <c r="CYJ205" s="199"/>
      <c r="CYK205" s="199"/>
      <c r="CYL205" s="199"/>
      <c r="CYM205" s="199"/>
      <c r="CYN205" s="199"/>
      <c r="CYO205" s="199"/>
      <c r="CYP205" s="199"/>
      <c r="CYQ205" s="199"/>
      <c r="CYR205" s="199"/>
      <c r="CYS205" s="199"/>
      <c r="CYT205" s="199"/>
      <c r="CYU205" s="199"/>
      <c r="CYV205" s="199"/>
      <c r="CYW205" s="199"/>
      <c r="CYX205" s="199"/>
      <c r="CYY205" s="199"/>
      <c r="CYZ205" s="199"/>
      <c r="CZA205" s="199"/>
      <c r="CZB205" s="199"/>
      <c r="CZC205" s="199"/>
      <c r="CZD205" s="199"/>
      <c r="CZE205" s="199"/>
      <c r="CZF205" s="199"/>
      <c r="CZG205" s="199"/>
      <c r="CZH205" s="199"/>
      <c r="CZI205" s="199"/>
      <c r="CZJ205" s="199"/>
      <c r="CZK205" s="199"/>
      <c r="CZL205" s="199"/>
      <c r="CZM205" s="199"/>
      <c r="CZN205" s="199"/>
      <c r="CZO205" s="199"/>
      <c r="CZP205" s="199"/>
      <c r="CZQ205" s="199"/>
      <c r="CZR205" s="199"/>
      <c r="CZS205" s="199"/>
      <c r="CZT205" s="199"/>
      <c r="CZU205" s="199"/>
      <c r="CZV205" s="199"/>
      <c r="CZW205" s="199"/>
      <c r="CZX205" s="199"/>
      <c r="CZY205" s="199"/>
      <c r="CZZ205" s="199"/>
      <c r="DAA205" s="199"/>
      <c r="DAB205" s="199"/>
      <c r="DAC205" s="199"/>
      <c r="DAD205" s="199"/>
      <c r="DAE205" s="199"/>
      <c r="DAF205" s="199"/>
      <c r="DAG205" s="199"/>
      <c r="DAH205" s="199"/>
      <c r="DAI205" s="199"/>
      <c r="DAJ205" s="199"/>
      <c r="DAK205" s="199"/>
      <c r="DAL205" s="199"/>
      <c r="DAM205" s="199"/>
      <c r="DAN205" s="199"/>
      <c r="DAO205" s="199"/>
      <c r="DAP205" s="199"/>
      <c r="DAQ205" s="199"/>
      <c r="DAR205" s="199"/>
      <c r="DAS205" s="199"/>
      <c r="DAT205" s="199"/>
      <c r="DAU205" s="199"/>
      <c r="DAV205" s="199"/>
      <c r="DAW205" s="199"/>
      <c r="DAX205" s="199"/>
      <c r="DAY205" s="199"/>
      <c r="DAZ205" s="199"/>
      <c r="DBA205" s="199"/>
      <c r="DBB205" s="199"/>
      <c r="DBC205" s="199"/>
      <c r="DBD205" s="199"/>
      <c r="DBE205" s="199"/>
      <c r="DBF205" s="199"/>
      <c r="DBG205" s="199"/>
      <c r="DBH205" s="199"/>
      <c r="DBI205" s="199"/>
      <c r="DBJ205" s="199"/>
      <c r="DBK205" s="199"/>
      <c r="DBL205" s="199"/>
      <c r="DBM205" s="199"/>
      <c r="DBN205" s="199"/>
      <c r="DBO205" s="199"/>
      <c r="DBP205" s="199"/>
      <c r="DBQ205" s="199"/>
      <c r="DBR205" s="199"/>
      <c r="DBS205" s="199"/>
      <c r="DBT205" s="199"/>
      <c r="DBU205" s="199"/>
      <c r="DBV205" s="199"/>
      <c r="DBW205" s="199"/>
      <c r="DBX205" s="199"/>
      <c r="DBY205" s="199"/>
      <c r="DBZ205" s="199"/>
      <c r="DCA205" s="199"/>
      <c r="DCB205" s="199"/>
      <c r="DCC205" s="199"/>
      <c r="DCD205" s="199"/>
      <c r="DCE205" s="199"/>
      <c r="DCF205" s="199"/>
      <c r="DCG205" s="199"/>
      <c r="DCH205" s="199"/>
      <c r="DCI205" s="199"/>
      <c r="DCJ205" s="199"/>
      <c r="DCK205" s="199"/>
      <c r="DCL205" s="199"/>
      <c r="DCM205" s="199"/>
      <c r="DCN205" s="199"/>
      <c r="DCO205" s="199"/>
      <c r="DCP205" s="199"/>
      <c r="DCQ205" s="199"/>
      <c r="DCR205" s="199"/>
      <c r="DCS205" s="199"/>
      <c r="DCT205" s="199"/>
      <c r="DCU205" s="199"/>
      <c r="DCV205" s="199"/>
      <c r="DCW205" s="199"/>
      <c r="DCX205" s="199"/>
      <c r="DCY205" s="199"/>
      <c r="DCZ205" s="199"/>
      <c r="DDA205" s="199"/>
      <c r="DDB205" s="199"/>
      <c r="DDC205" s="199"/>
      <c r="DDD205" s="199"/>
      <c r="DDE205" s="199"/>
      <c r="DDF205" s="199"/>
      <c r="DDG205" s="199"/>
      <c r="DDH205" s="199"/>
      <c r="DDI205" s="199"/>
      <c r="DDJ205" s="199"/>
      <c r="DDK205" s="199"/>
      <c r="DDL205" s="199"/>
      <c r="DDM205" s="199"/>
      <c r="DDN205" s="199"/>
      <c r="DDO205" s="199"/>
      <c r="DDP205" s="199"/>
      <c r="DDQ205" s="199"/>
      <c r="DDR205" s="199"/>
      <c r="DDS205" s="199"/>
      <c r="DDT205" s="199"/>
      <c r="DDU205" s="199"/>
      <c r="DDV205" s="199"/>
      <c r="DDW205" s="199"/>
      <c r="DDX205" s="199"/>
      <c r="DDY205" s="199"/>
      <c r="DDZ205" s="199"/>
      <c r="DEA205" s="199"/>
      <c r="DEB205" s="199"/>
      <c r="DEC205" s="199"/>
      <c r="DED205" s="199"/>
      <c r="DEE205" s="199"/>
      <c r="DEF205" s="199"/>
      <c r="DEG205" s="199"/>
      <c r="DEH205" s="199"/>
      <c r="DEI205" s="199"/>
      <c r="DEJ205" s="199"/>
      <c r="DEK205" s="199"/>
      <c r="DEL205" s="199"/>
      <c r="DEM205" s="199"/>
      <c r="DEN205" s="199"/>
      <c r="DEO205" s="199"/>
      <c r="DEP205" s="199"/>
      <c r="DEQ205" s="199"/>
      <c r="DER205" s="199"/>
      <c r="DES205" s="199"/>
      <c r="DET205" s="199"/>
      <c r="DEU205" s="199"/>
      <c r="DEV205" s="199"/>
      <c r="DEW205" s="199"/>
      <c r="DEX205" s="199"/>
      <c r="DEY205" s="199"/>
      <c r="DEZ205" s="199"/>
      <c r="DFA205" s="199"/>
      <c r="DFB205" s="199"/>
      <c r="DFC205" s="199"/>
      <c r="DFD205" s="199"/>
      <c r="DFE205" s="199"/>
      <c r="DFF205" s="199"/>
      <c r="DFG205" s="199"/>
      <c r="DFH205" s="199"/>
      <c r="DFI205" s="199"/>
      <c r="DFJ205" s="199"/>
      <c r="DFK205" s="199"/>
      <c r="DFL205" s="199"/>
      <c r="DFM205" s="199"/>
      <c r="DFN205" s="199"/>
      <c r="DFO205" s="199"/>
      <c r="DFP205" s="199"/>
      <c r="DFQ205" s="199"/>
      <c r="DFR205" s="199"/>
      <c r="DFS205" s="199"/>
      <c r="DFT205" s="199"/>
      <c r="DFU205" s="199"/>
      <c r="DFV205" s="199"/>
      <c r="DFW205" s="199"/>
      <c r="DFX205" s="199"/>
      <c r="DFY205" s="199"/>
      <c r="DFZ205" s="199"/>
      <c r="DGA205" s="199"/>
      <c r="DGB205" s="199"/>
      <c r="DGC205" s="199"/>
      <c r="DGD205" s="199"/>
      <c r="DGE205" s="199"/>
      <c r="DGF205" s="199"/>
      <c r="DGG205" s="199"/>
      <c r="DGH205" s="199"/>
      <c r="DGI205" s="199"/>
      <c r="DGJ205" s="199"/>
      <c r="DGK205" s="199"/>
      <c r="DGL205" s="199"/>
      <c r="DGM205" s="199"/>
      <c r="DGN205" s="199"/>
      <c r="DGO205" s="199"/>
      <c r="DGP205" s="199"/>
      <c r="DGQ205" s="199"/>
      <c r="DGR205" s="199"/>
      <c r="DGS205" s="199"/>
      <c r="DGT205" s="199"/>
      <c r="DGU205" s="199"/>
      <c r="DGV205" s="199"/>
      <c r="DGW205" s="199"/>
      <c r="DGX205" s="199"/>
      <c r="DGY205" s="199"/>
      <c r="DGZ205" s="199"/>
      <c r="DHA205" s="199"/>
      <c r="DHB205" s="199"/>
      <c r="DHC205" s="199"/>
      <c r="DHD205" s="199"/>
      <c r="DHE205" s="199"/>
      <c r="DHF205" s="199"/>
      <c r="DHG205" s="199"/>
      <c r="DHH205" s="199"/>
      <c r="DHI205" s="199"/>
      <c r="DHJ205" s="199"/>
      <c r="DHK205" s="199"/>
      <c r="DHL205" s="199"/>
      <c r="DHM205" s="199"/>
      <c r="DHN205" s="199"/>
      <c r="DHO205" s="199"/>
      <c r="DHP205" s="199"/>
      <c r="DHQ205" s="199"/>
      <c r="DHR205" s="199"/>
      <c r="DHS205" s="199"/>
      <c r="DHT205" s="199"/>
      <c r="DHU205" s="199"/>
      <c r="DHV205" s="199"/>
      <c r="DHW205" s="199"/>
      <c r="DHX205" s="199"/>
      <c r="DHY205" s="199"/>
      <c r="DHZ205" s="199"/>
      <c r="DIA205" s="199"/>
      <c r="DIB205" s="199"/>
      <c r="DIC205" s="199"/>
      <c r="DID205" s="199"/>
      <c r="DIE205" s="199"/>
      <c r="DIF205" s="199"/>
      <c r="DIG205" s="199"/>
      <c r="DIH205" s="199"/>
      <c r="DII205" s="199"/>
      <c r="DIJ205" s="199"/>
      <c r="DIK205" s="199"/>
      <c r="DIL205" s="199"/>
      <c r="DIM205" s="199"/>
      <c r="DIN205" s="199"/>
      <c r="DIO205" s="199"/>
      <c r="DIP205" s="199"/>
      <c r="DIQ205" s="199"/>
      <c r="DIR205" s="199"/>
      <c r="DIS205" s="199"/>
      <c r="DIT205" s="199"/>
      <c r="DIU205" s="199"/>
      <c r="DIV205" s="199"/>
      <c r="DIW205" s="199"/>
      <c r="DIX205" s="199"/>
      <c r="DIY205" s="199"/>
      <c r="DIZ205" s="199"/>
      <c r="DJA205" s="199"/>
      <c r="DJB205" s="199"/>
      <c r="DJC205" s="199"/>
      <c r="DJD205" s="199"/>
      <c r="DJE205" s="199"/>
      <c r="DJF205" s="199"/>
      <c r="DJG205" s="199"/>
      <c r="DJH205" s="199"/>
      <c r="DJI205" s="199"/>
      <c r="DJJ205" s="199"/>
      <c r="DJK205" s="199"/>
      <c r="DJL205" s="199"/>
      <c r="DJM205" s="199"/>
      <c r="DJN205" s="199"/>
      <c r="DJO205" s="199"/>
      <c r="DJP205" s="199"/>
      <c r="DJQ205" s="199"/>
      <c r="DJR205" s="199"/>
      <c r="DJS205" s="199"/>
      <c r="DJT205" s="199"/>
      <c r="DJU205" s="199"/>
      <c r="DJV205" s="199"/>
      <c r="DJW205" s="199"/>
      <c r="DJX205" s="199"/>
      <c r="DJY205" s="199"/>
      <c r="DJZ205" s="199"/>
      <c r="DKA205" s="199"/>
      <c r="DKB205" s="199"/>
      <c r="DKC205" s="199"/>
      <c r="DKD205" s="199"/>
      <c r="DKE205" s="199"/>
      <c r="DKF205" s="199"/>
      <c r="DKG205" s="199"/>
      <c r="DKH205" s="199"/>
      <c r="DKI205" s="199"/>
      <c r="DKJ205" s="199"/>
      <c r="DKK205" s="199"/>
      <c r="DKL205" s="199"/>
      <c r="DKM205" s="199"/>
      <c r="DKN205" s="199"/>
      <c r="DKO205" s="199"/>
      <c r="DKP205" s="199"/>
      <c r="DKQ205" s="199"/>
      <c r="DKR205" s="199"/>
      <c r="DKS205" s="199"/>
      <c r="DKT205" s="199"/>
      <c r="DKU205" s="199"/>
      <c r="DKV205" s="199"/>
      <c r="DKW205" s="199"/>
      <c r="DKX205" s="199"/>
      <c r="DKY205" s="199"/>
      <c r="DKZ205" s="199"/>
      <c r="DLA205" s="199"/>
      <c r="DLB205" s="199"/>
      <c r="DLC205" s="199"/>
      <c r="DLD205" s="199"/>
      <c r="DLE205" s="199"/>
      <c r="DLF205" s="199"/>
      <c r="DLG205" s="199"/>
      <c r="DLH205" s="199"/>
      <c r="DLI205" s="199"/>
      <c r="DLJ205" s="199"/>
      <c r="DLK205" s="199"/>
      <c r="DLL205" s="199"/>
      <c r="DLM205" s="199"/>
      <c r="DLN205" s="199"/>
      <c r="DLO205" s="199"/>
      <c r="DLP205" s="199"/>
      <c r="DLQ205" s="199"/>
      <c r="DLR205" s="199"/>
      <c r="DLS205" s="199"/>
      <c r="DLT205" s="199"/>
      <c r="DLU205" s="199"/>
      <c r="DLV205" s="199"/>
      <c r="DLW205" s="199"/>
      <c r="DLX205" s="199"/>
      <c r="DLY205" s="199"/>
      <c r="DLZ205" s="199"/>
      <c r="DMA205" s="199"/>
      <c r="DMB205" s="199"/>
      <c r="DMC205" s="199"/>
      <c r="DMD205" s="199"/>
      <c r="DME205" s="199"/>
      <c r="DMF205" s="199"/>
      <c r="DMG205" s="199"/>
      <c r="DMH205" s="199"/>
      <c r="DMI205" s="199"/>
      <c r="DMJ205" s="199"/>
      <c r="DMK205" s="199"/>
      <c r="DML205" s="199"/>
      <c r="DMM205" s="199"/>
      <c r="DMN205" s="199"/>
      <c r="DMO205" s="199"/>
      <c r="DMP205" s="199"/>
      <c r="DMQ205" s="199"/>
      <c r="DMR205" s="199"/>
      <c r="DMS205" s="199"/>
      <c r="DMT205" s="199"/>
      <c r="DMU205" s="199"/>
      <c r="DMV205" s="199"/>
      <c r="DMW205" s="199"/>
      <c r="DMX205" s="199"/>
      <c r="DMY205" s="199"/>
      <c r="DMZ205" s="199"/>
      <c r="DNA205" s="199"/>
      <c r="DNB205" s="199"/>
      <c r="DNC205" s="199"/>
      <c r="DND205" s="199"/>
      <c r="DNE205" s="199"/>
      <c r="DNF205" s="199"/>
      <c r="DNG205" s="199"/>
      <c r="DNH205" s="199"/>
      <c r="DNI205" s="199"/>
      <c r="DNJ205" s="199"/>
      <c r="DNK205" s="199"/>
      <c r="DNL205" s="199"/>
      <c r="DNM205" s="199"/>
      <c r="DNN205" s="199"/>
      <c r="DNO205" s="199"/>
      <c r="DNP205" s="199"/>
      <c r="DNQ205" s="199"/>
      <c r="DNR205" s="199"/>
      <c r="DNS205" s="199"/>
      <c r="DNT205" s="199"/>
      <c r="DNU205" s="199"/>
      <c r="DNV205" s="199"/>
      <c r="DNW205" s="199"/>
      <c r="DNX205" s="199"/>
      <c r="DNY205" s="199"/>
      <c r="DNZ205" s="199"/>
      <c r="DOA205" s="199"/>
      <c r="DOB205" s="199"/>
      <c r="DOC205" s="199"/>
      <c r="DOD205" s="199"/>
      <c r="DOE205" s="199"/>
      <c r="DOF205" s="199"/>
      <c r="DOG205" s="199"/>
      <c r="DOH205" s="199"/>
      <c r="DOI205" s="199"/>
      <c r="DOJ205" s="199"/>
      <c r="DOK205" s="199"/>
      <c r="DOL205" s="199"/>
      <c r="DOM205" s="199"/>
      <c r="DON205" s="199"/>
      <c r="DOO205" s="199"/>
      <c r="DOP205" s="199"/>
      <c r="DOQ205" s="199"/>
      <c r="DOR205" s="199"/>
      <c r="DOS205" s="199"/>
      <c r="DOT205" s="199"/>
      <c r="DOU205" s="199"/>
      <c r="DOV205" s="199"/>
      <c r="DOW205" s="199"/>
      <c r="DOX205" s="199"/>
      <c r="DOY205" s="199"/>
      <c r="DOZ205" s="199"/>
      <c r="DPA205" s="199"/>
      <c r="DPB205" s="199"/>
      <c r="DPC205" s="199"/>
      <c r="DPD205" s="199"/>
      <c r="DPE205" s="199"/>
      <c r="DPF205" s="199"/>
      <c r="DPG205" s="199"/>
      <c r="DPH205" s="199"/>
      <c r="DPI205" s="199"/>
      <c r="DPJ205" s="199"/>
      <c r="DPK205" s="199"/>
      <c r="DPL205" s="199"/>
      <c r="DPM205" s="199"/>
      <c r="DPN205" s="199"/>
      <c r="DPO205" s="199"/>
      <c r="DPP205" s="199"/>
      <c r="DPQ205" s="199"/>
      <c r="DPR205" s="199"/>
      <c r="DPS205" s="199"/>
      <c r="DPT205" s="199"/>
      <c r="DPU205" s="199"/>
      <c r="DPV205" s="199"/>
      <c r="DPW205" s="199"/>
      <c r="DPX205" s="199"/>
      <c r="DPY205" s="199"/>
      <c r="DPZ205" s="199"/>
      <c r="DQA205" s="199"/>
      <c r="DQB205" s="199"/>
      <c r="DQC205" s="199"/>
      <c r="DQD205" s="199"/>
      <c r="DQE205" s="199"/>
      <c r="DQF205" s="199"/>
      <c r="DQG205" s="199"/>
      <c r="DQH205" s="199"/>
      <c r="DQI205" s="199"/>
      <c r="DQJ205" s="199"/>
      <c r="DQK205" s="199"/>
      <c r="DQL205" s="199"/>
      <c r="DQM205" s="199"/>
      <c r="DQN205" s="199"/>
      <c r="DQO205" s="199"/>
      <c r="DQP205" s="199"/>
      <c r="DQQ205" s="199"/>
      <c r="DQR205" s="199"/>
      <c r="DQS205" s="199"/>
      <c r="DQT205" s="199"/>
      <c r="DQU205" s="199"/>
      <c r="DQV205" s="199"/>
      <c r="DQW205" s="199"/>
      <c r="DQX205" s="199"/>
      <c r="DQY205" s="199"/>
      <c r="DQZ205" s="199"/>
      <c r="DRA205" s="199"/>
      <c r="DRB205" s="199"/>
      <c r="DRC205" s="199"/>
      <c r="DRD205" s="199"/>
      <c r="DRE205" s="199"/>
      <c r="DRF205" s="199"/>
      <c r="DRG205" s="199"/>
      <c r="DRH205" s="199"/>
      <c r="DRI205" s="199"/>
      <c r="DRJ205" s="199"/>
      <c r="DRK205" s="199"/>
      <c r="DRL205" s="199"/>
      <c r="DRM205" s="199"/>
      <c r="DRN205" s="199"/>
      <c r="DRO205" s="199"/>
      <c r="DRP205" s="199"/>
      <c r="DRQ205" s="199"/>
      <c r="DRR205" s="199"/>
      <c r="DRS205" s="199"/>
      <c r="DRT205" s="199"/>
      <c r="DRU205" s="199"/>
      <c r="DRV205" s="199"/>
      <c r="DRW205" s="199"/>
      <c r="DRX205" s="199"/>
      <c r="DRY205" s="199"/>
      <c r="DRZ205" s="199"/>
      <c r="DSA205" s="199"/>
      <c r="DSB205" s="199"/>
      <c r="DSC205" s="199"/>
      <c r="DSD205" s="199"/>
      <c r="DSE205" s="199"/>
      <c r="DSF205" s="199"/>
      <c r="DSG205" s="199"/>
      <c r="DSH205" s="199"/>
      <c r="DSI205" s="199"/>
      <c r="DSJ205" s="199"/>
      <c r="DSK205" s="199"/>
      <c r="DSL205" s="199"/>
      <c r="DSM205" s="199"/>
      <c r="DSN205" s="199"/>
      <c r="DSO205" s="199"/>
      <c r="DSP205" s="199"/>
      <c r="DSQ205" s="199"/>
      <c r="DSR205" s="199"/>
      <c r="DSS205" s="199"/>
      <c r="DST205" s="199"/>
      <c r="DSU205" s="199"/>
      <c r="DSV205" s="199"/>
      <c r="DSW205" s="199"/>
      <c r="DSX205" s="199"/>
      <c r="DSY205" s="199"/>
      <c r="DSZ205" s="199"/>
      <c r="DTA205" s="199"/>
      <c r="DTB205" s="199"/>
      <c r="DTC205" s="199"/>
      <c r="DTD205" s="199"/>
      <c r="DTE205" s="199"/>
      <c r="DTF205" s="199"/>
      <c r="DTG205" s="199"/>
      <c r="DTH205" s="199"/>
      <c r="DTI205" s="199"/>
      <c r="DTJ205" s="199"/>
      <c r="DTK205" s="199"/>
      <c r="DTL205" s="199"/>
      <c r="DTM205" s="199"/>
      <c r="DTN205" s="199"/>
      <c r="DTO205" s="199"/>
      <c r="DTP205" s="199"/>
      <c r="DTQ205" s="199"/>
      <c r="DTR205" s="199"/>
      <c r="DTS205" s="199"/>
      <c r="DTT205" s="199"/>
      <c r="DTU205" s="199"/>
      <c r="DTV205" s="199"/>
      <c r="DTW205" s="199"/>
      <c r="DTX205" s="199"/>
      <c r="DTY205" s="199"/>
      <c r="DTZ205" s="199"/>
      <c r="DUA205" s="199"/>
      <c r="DUB205" s="199"/>
      <c r="DUC205" s="199"/>
      <c r="DUD205" s="199"/>
      <c r="DUE205" s="199"/>
      <c r="DUF205" s="199"/>
      <c r="DUG205" s="199"/>
      <c r="DUH205" s="199"/>
      <c r="DUI205" s="199"/>
      <c r="DUJ205" s="199"/>
      <c r="DUK205" s="199"/>
      <c r="DUL205" s="199"/>
      <c r="DUM205" s="199"/>
      <c r="DUN205" s="199"/>
      <c r="DUO205" s="199"/>
      <c r="DUP205" s="199"/>
      <c r="DUQ205" s="199"/>
      <c r="DUR205" s="199"/>
      <c r="DUS205" s="199"/>
      <c r="DUT205" s="199"/>
      <c r="DUU205" s="199"/>
      <c r="DUV205" s="199"/>
      <c r="DUW205" s="199"/>
      <c r="DUX205" s="199"/>
      <c r="DUY205" s="199"/>
      <c r="DUZ205" s="199"/>
      <c r="DVA205" s="199"/>
      <c r="DVB205" s="199"/>
      <c r="DVC205" s="199"/>
      <c r="DVD205" s="199"/>
      <c r="DVE205" s="199"/>
      <c r="DVF205" s="199"/>
      <c r="DVG205" s="199"/>
      <c r="DVH205" s="199"/>
      <c r="DVI205" s="199"/>
      <c r="DVJ205" s="199"/>
      <c r="DVK205" s="199"/>
      <c r="DVL205" s="199"/>
      <c r="DVM205" s="199"/>
      <c r="DVN205" s="199"/>
      <c r="DVO205" s="199"/>
      <c r="DVP205" s="199"/>
      <c r="DVQ205" s="199"/>
      <c r="DVR205" s="199"/>
      <c r="DVS205" s="199"/>
      <c r="DVT205" s="199"/>
      <c r="DVU205" s="199"/>
      <c r="DVV205" s="199"/>
      <c r="DVW205" s="199"/>
      <c r="DVX205" s="199"/>
      <c r="DVY205" s="199"/>
      <c r="DVZ205" s="199"/>
      <c r="DWA205" s="199"/>
      <c r="DWB205" s="199"/>
      <c r="DWC205" s="199"/>
      <c r="DWD205" s="199"/>
      <c r="DWE205" s="199"/>
      <c r="DWF205" s="199"/>
      <c r="DWG205" s="199"/>
      <c r="DWH205" s="199"/>
      <c r="DWI205" s="199"/>
      <c r="DWJ205" s="199"/>
      <c r="DWK205" s="199"/>
      <c r="DWL205" s="199"/>
      <c r="DWM205" s="199"/>
      <c r="DWN205" s="199"/>
      <c r="DWO205" s="199"/>
      <c r="DWP205" s="199"/>
      <c r="DWQ205" s="199"/>
      <c r="DWR205" s="199"/>
      <c r="DWS205" s="199"/>
      <c r="DWT205" s="199"/>
      <c r="DWU205" s="199"/>
      <c r="DWV205" s="199"/>
      <c r="DWW205" s="199"/>
      <c r="DWX205" s="199"/>
      <c r="DWY205" s="199"/>
      <c r="DWZ205" s="199"/>
      <c r="DXA205" s="199"/>
      <c r="DXB205" s="199"/>
      <c r="DXC205" s="199"/>
      <c r="DXD205" s="199"/>
      <c r="DXE205" s="199"/>
      <c r="DXF205" s="199"/>
      <c r="DXG205" s="199"/>
      <c r="DXH205" s="199"/>
      <c r="DXI205" s="199"/>
      <c r="DXJ205" s="199"/>
      <c r="DXK205" s="199"/>
      <c r="DXL205" s="199"/>
      <c r="DXM205" s="199"/>
      <c r="DXN205" s="199"/>
      <c r="DXO205" s="199"/>
      <c r="DXP205" s="199"/>
      <c r="DXQ205" s="199"/>
      <c r="DXR205" s="199"/>
      <c r="DXS205" s="199"/>
      <c r="DXT205" s="199"/>
      <c r="DXU205" s="199"/>
      <c r="DXV205" s="199"/>
      <c r="DXW205" s="199"/>
      <c r="DXX205" s="199"/>
      <c r="DXY205" s="199"/>
      <c r="DXZ205" s="199"/>
      <c r="DYA205" s="199"/>
      <c r="DYB205" s="199"/>
      <c r="DYC205" s="199"/>
      <c r="DYD205" s="199"/>
      <c r="DYE205" s="199"/>
      <c r="DYF205" s="199"/>
      <c r="DYG205" s="199"/>
      <c r="DYH205" s="199"/>
      <c r="DYI205" s="199"/>
      <c r="DYJ205" s="199"/>
      <c r="DYK205" s="199"/>
      <c r="DYL205" s="199"/>
      <c r="DYM205" s="199"/>
      <c r="DYN205" s="199"/>
      <c r="DYO205" s="199"/>
      <c r="DYP205" s="199"/>
      <c r="DYQ205" s="199"/>
      <c r="DYR205" s="199"/>
      <c r="DYS205" s="199"/>
      <c r="DYT205" s="199"/>
      <c r="DYU205" s="199"/>
      <c r="DYV205" s="199"/>
      <c r="DYW205" s="199"/>
      <c r="DYX205" s="199"/>
      <c r="DYY205" s="199"/>
      <c r="DYZ205" s="199"/>
      <c r="DZA205" s="199"/>
      <c r="DZB205" s="199"/>
      <c r="DZC205" s="199"/>
      <c r="DZD205" s="199"/>
      <c r="DZE205" s="199"/>
      <c r="DZF205" s="199"/>
      <c r="DZG205" s="199"/>
      <c r="DZH205" s="199"/>
      <c r="DZI205" s="199"/>
      <c r="DZJ205" s="199"/>
      <c r="DZK205" s="199"/>
      <c r="DZL205" s="199"/>
      <c r="DZM205" s="199"/>
      <c r="DZN205" s="199"/>
      <c r="DZO205" s="199"/>
      <c r="DZP205" s="199"/>
      <c r="DZQ205" s="199"/>
      <c r="DZR205" s="199"/>
      <c r="DZS205" s="199"/>
      <c r="DZT205" s="199"/>
      <c r="DZU205" s="199"/>
      <c r="DZV205" s="199"/>
      <c r="DZW205" s="199"/>
      <c r="DZX205" s="199"/>
      <c r="DZY205" s="199"/>
      <c r="DZZ205" s="199"/>
      <c r="EAA205" s="199"/>
      <c r="EAB205" s="199"/>
      <c r="EAC205" s="199"/>
      <c r="EAD205" s="199"/>
      <c r="EAE205" s="199"/>
      <c r="EAF205" s="199"/>
      <c r="EAG205" s="199"/>
      <c r="EAH205" s="199"/>
      <c r="EAI205" s="199"/>
      <c r="EAJ205" s="199"/>
      <c r="EAK205" s="199"/>
      <c r="EAL205" s="199"/>
      <c r="EAM205" s="199"/>
      <c r="EAN205" s="199"/>
      <c r="EAO205" s="199"/>
      <c r="EAP205" s="199"/>
      <c r="EAQ205" s="199"/>
      <c r="EAR205" s="199"/>
      <c r="EAS205" s="199"/>
      <c r="EAT205" s="199"/>
      <c r="EAU205" s="199"/>
      <c r="EAV205" s="199"/>
      <c r="EAW205" s="199"/>
      <c r="EAX205" s="199"/>
      <c r="EAY205" s="199"/>
      <c r="EAZ205" s="199"/>
      <c r="EBA205" s="199"/>
      <c r="EBB205" s="199"/>
      <c r="EBC205" s="199"/>
      <c r="EBD205" s="199"/>
      <c r="EBE205" s="199"/>
      <c r="EBF205" s="199"/>
      <c r="EBG205" s="199"/>
      <c r="EBH205" s="199"/>
      <c r="EBI205" s="199"/>
      <c r="EBJ205" s="199"/>
      <c r="EBK205" s="199"/>
      <c r="EBL205" s="199"/>
      <c r="EBM205" s="199"/>
      <c r="EBN205" s="199"/>
      <c r="EBO205" s="199"/>
      <c r="EBP205" s="199"/>
      <c r="EBQ205" s="199"/>
      <c r="EBR205" s="199"/>
      <c r="EBS205" s="199"/>
      <c r="EBT205" s="199"/>
      <c r="EBU205" s="199"/>
      <c r="EBV205" s="199"/>
      <c r="EBW205" s="199"/>
      <c r="EBX205" s="199"/>
      <c r="EBY205" s="199"/>
      <c r="EBZ205" s="199"/>
      <c r="ECA205" s="199"/>
      <c r="ECB205" s="199"/>
      <c r="ECC205" s="199"/>
      <c r="ECD205" s="199"/>
      <c r="ECE205" s="199"/>
      <c r="ECF205" s="199"/>
      <c r="ECG205" s="199"/>
      <c r="ECH205" s="199"/>
      <c r="ECI205" s="199"/>
      <c r="ECJ205" s="199"/>
      <c r="ECK205" s="199"/>
      <c r="ECL205" s="199"/>
      <c r="ECM205" s="199"/>
      <c r="ECN205" s="199"/>
      <c r="ECO205" s="199"/>
      <c r="ECP205" s="199"/>
      <c r="ECQ205" s="199"/>
      <c r="ECR205" s="199"/>
      <c r="ECS205" s="199"/>
      <c r="ECT205" s="199"/>
      <c r="ECU205" s="199"/>
      <c r="ECV205" s="199"/>
      <c r="ECW205" s="199"/>
      <c r="ECX205" s="199"/>
      <c r="ECY205" s="199"/>
      <c r="ECZ205" s="199"/>
      <c r="EDA205" s="199"/>
      <c r="EDB205" s="199"/>
      <c r="EDC205" s="199"/>
      <c r="EDD205" s="199"/>
      <c r="EDE205" s="199"/>
      <c r="EDF205" s="199"/>
      <c r="EDG205" s="199"/>
      <c r="EDH205" s="199"/>
      <c r="EDI205" s="199"/>
      <c r="EDJ205" s="199"/>
      <c r="EDK205" s="199"/>
      <c r="EDL205" s="199"/>
      <c r="EDM205" s="199"/>
      <c r="EDN205" s="199"/>
      <c r="EDO205" s="199"/>
      <c r="EDP205" s="199"/>
      <c r="EDQ205" s="199"/>
      <c r="EDR205" s="199"/>
      <c r="EDS205" s="199"/>
      <c r="EDT205" s="199"/>
      <c r="EDU205" s="199"/>
      <c r="EDV205" s="199"/>
      <c r="EDW205" s="199"/>
      <c r="EDX205" s="199"/>
      <c r="EDY205" s="199"/>
      <c r="EDZ205" s="199"/>
      <c r="EEA205" s="199"/>
      <c r="EEB205" s="199"/>
      <c r="EEC205" s="199"/>
      <c r="EED205" s="199"/>
      <c r="EEE205" s="199"/>
      <c r="EEF205" s="199"/>
      <c r="EEG205" s="199"/>
      <c r="EEH205" s="199"/>
      <c r="EEI205" s="199"/>
      <c r="EEJ205" s="199"/>
      <c r="EEK205" s="199"/>
      <c r="EEL205" s="199"/>
      <c r="EEM205" s="199"/>
      <c r="EEN205" s="199"/>
      <c r="EEO205" s="199"/>
      <c r="EEP205" s="199"/>
      <c r="EEQ205" s="199"/>
      <c r="EER205" s="199"/>
      <c r="EES205" s="199"/>
      <c r="EET205" s="199"/>
      <c r="EEU205" s="199"/>
      <c r="EEV205" s="199"/>
      <c r="EEW205" s="199"/>
      <c r="EEX205" s="199"/>
      <c r="EEY205" s="199"/>
      <c r="EEZ205" s="199"/>
      <c r="EFA205" s="199"/>
      <c r="EFB205" s="199"/>
      <c r="EFC205" s="199"/>
      <c r="EFD205" s="199"/>
      <c r="EFE205" s="199"/>
      <c r="EFF205" s="199"/>
      <c r="EFG205" s="199"/>
      <c r="EFH205" s="199"/>
      <c r="EFI205" s="199"/>
      <c r="EFJ205" s="199"/>
      <c r="EFK205" s="199"/>
      <c r="EFL205" s="199"/>
      <c r="EFM205" s="199"/>
      <c r="EFN205" s="199"/>
      <c r="EFO205" s="199"/>
      <c r="EFP205" s="199"/>
      <c r="EFQ205" s="199"/>
      <c r="EFR205" s="199"/>
      <c r="EFS205" s="199"/>
      <c r="EFT205" s="199"/>
      <c r="EFU205" s="199"/>
      <c r="EFV205" s="199"/>
      <c r="EFW205" s="199"/>
      <c r="EFX205" s="199"/>
      <c r="EFY205" s="199"/>
      <c r="EFZ205" s="199"/>
      <c r="EGA205" s="199"/>
      <c r="EGB205" s="199"/>
      <c r="EGC205" s="199"/>
      <c r="EGD205" s="199"/>
      <c r="EGE205" s="199"/>
      <c r="EGF205" s="199"/>
      <c r="EGG205" s="199"/>
      <c r="EGH205" s="199"/>
      <c r="EGI205" s="199"/>
      <c r="EGJ205" s="199"/>
      <c r="EGK205" s="199"/>
      <c r="EGL205" s="199"/>
      <c r="EGM205" s="199"/>
      <c r="EGN205" s="199"/>
      <c r="EGO205" s="199"/>
      <c r="EGP205" s="199"/>
      <c r="EGQ205" s="199"/>
      <c r="EGR205" s="199"/>
      <c r="EGS205" s="199"/>
      <c r="EGT205" s="199"/>
      <c r="EGU205" s="199"/>
      <c r="EGV205" s="199"/>
      <c r="EGW205" s="199"/>
      <c r="EGX205" s="199"/>
      <c r="EGY205" s="199"/>
      <c r="EGZ205" s="199"/>
      <c r="EHA205" s="199"/>
      <c r="EHB205" s="199"/>
      <c r="EHC205" s="199"/>
      <c r="EHD205" s="199"/>
      <c r="EHE205" s="199"/>
      <c r="EHF205" s="199"/>
      <c r="EHG205" s="199"/>
      <c r="EHH205" s="199"/>
      <c r="EHI205" s="199"/>
      <c r="EHJ205" s="199"/>
      <c r="EHK205" s="199"/>
      <c r="EHL205" s="199"/>
      <c r="EHM205" s="199"/>
      <c r="EHN205" s="199"/>
      <c r="EHO205" s="199"/>
      <c r="EHP205" s="199"/>
      <c r="EHQ205" s="199"/>
      <c r="EHR205" s="199"/>
      <c r="EHS205" s="199"/>
      <c r="EHT205" s="199"/>
      <c r="EHU205" s="199"/>
      <c r="EHV205" s="199"/>
      <c r="EHW205" s="199"/>
      <c r="EHX205" s="199"/>
      <c r="EHY205" s="199"/>
      <c r="EHZ205" s="199"/>
      <c r="EIA205" s="199"/>
      <c r="EIB205" s="199"/>
      <c r="EIC205" s="199"/>
      <c r="EID205" s="199"/>
      <c r="EIE205" s="199"/>
      <c r="EIF205" s="199"/>
      <c r="EIG205" s="199"/>
      <c r="EIH205" s="199"/>
      <c r="EII205" s="199"/>
      <c r="EIJ205" s="199"/>
      <c r="EIK205" s="199"/>
      <c r="EIL205" s="199"/>
      <c r="EIM205" s="199"/>
      <c r="EIN205" s="199"/>
      <c r="EIO205" s="199"/>
      <c r="EIP205" s="199"/>
      <c r="EIQ205" s="199"/>
      <c r="EIR205" s="199"/>
      <c r="EIS205" s="199"/>
      <c r="EIT205" s="199"/>
      <c r="EIU205" s="199"/>
      <c r="EIV205" s="199"/>
      <c r="EIW205" s="199"/>
      <c r="EIX205" s="199"/>
      <c r="EIY205" s="199"/>
      <c r="EIZ205" s="199"/>
      <c r="EJA205" s="199"/>
      <c r="EJB205" s="199"/>
      <c r="EJC205" s="199"/>
      <c r="EJD205" s="199"/>
      <c r="EJE205" s="199"/>
      <c r="EJF205" s="199"/>
      <c r="EJG205" s="199"/>
      <c r="EJH205" s="199"/>
      <c r="EJI205" s="199"/>
      <c r="EJJ205" s="199"/>
      <c r="EJK205" s="199"/>
      <c r="EJL205" s="199"/>
      <c r="EJM205" s="199"/>
      <c r="EJN205" s="199"/>
      <c r="EJO205" s="199"/>
      <c r="EJP205" s="199"/>
      <c r="EJQ205" s="199"/>
      <c r="EJR205" s="199"/>
      <c r="EJS205" s="199"/>
      <c r="EJT205" s="199"/>
      <c r="EJU205" s="199"/>
      <c r="EJV205" s="199"/>
      <c r="EJW205" s="199"/>
      <c r="EJX205" s="199"/>
      <c r="EJY205" s="199"/>
      <c r="EJZ205" s="199"/>
      <c r="EKA205" s="199"/>
      <c r="EKB205" s="199"/>
      <c r="EKC205" s="199"/>
      <c r="EKD205" s="199"/>
      <c r="EKE205" s="199"/>
      <c r="EKF205" s="199"/>
      <c r="EKG205" s="199"/>
      <c r="EKH205" s="199"/>
      <c r="EKI205" s="199"/>
      <c r="EKJ205" s="199"/>
      <c r="EKK205" s="199"/>
      <c r="EKL205" s="199"/>
      <c r="EKM205" s="199"/>
      <c r="EKN205" s="199"/>
      <c r="EKO205" s="199"/>
      <c r="EKP205" s="199"/>
      <c r="EKQ205" s="199"/>
      <c r="EKR205" s="199"/>
      <c r="EKS205" s="199"/>
      <c r="EKT205" s="199"/>
      <c r="EKU205" s="199"/>
      <c r="EKV205" s="199"/>
      <c r="EKW205" s="199"/>
      <c r="EKX205" s="199"/>
      <c r="EKY205" s="199"/>
      <c r="EKZ205" s="199"/>
      <c r="ELA205" s="199"/>
      <c r="ELB205" s="199"/>
      <c r="ELC205" s="199"/>
      <c r="ELD205" s="199"/>
      <c r="ELE205" s="199"/>
      <c r="ELF205" s="199"/>
      <c r="ELG205" s="199"/>
      <c r="ELH205" s="199"/>
      <c r="ELI205" s="199"/>
      <c r="ELJ205" s="199"/>
      <c r="ELK205" s="199"/>
      <c r="ELL205" s="199"/>
      <c r="ELM205" s="199"/>
      <c r="ELN205" s="199"/>
      <c r="ELO205" s="199"/>
      <c r="ELP205" s="199"/>
      <c r="ELQ205" s="199"/>
      <c r="ELR205" s="199"/>
      <c r="ELS205" s="199"/>
      <c r="ELT205" s="199"/>
      <c r="ELU205" s="199"/>
      <c r="ELV205" s="199"/>
      <c r="ELW205" s="199"/>
      <c r="ELX205" s="199"/>
      <c r="ELY205" s="199"/>
      <c r="ELZ205" s="199"/>
      <c r="EMA205" s="199"/>
      <c r="EMB205" s="199"/>
      <c r="EMC205" s="199"/>
      <c r="EMD205" s="199"/>
      <c r="EME205" s="199"/>
      <c r="EMF205" s="199"/>
      <c r="EMG205" s="199"/>
      <c r="EMH205" s="199"/>
      <c r="EMI205" s="199"/>
      <c r="EMJ205" s="199"/>
      <c r="EMK205" s="199"/>
      <c r="EML205" s="199"/>
      <c r="EMM205" s="199"/>
      <c r="EMN205" s="199"/>
      <c r="EMO205" s="199"/>
      <c r="EMP205" s="199"/>
      <c r="EMQ205" s="199"/>
      <c r="EMR205" s="199"/>
      <c r="EMS205" s="199"/>
      <c r="EMT205" s="199"/>
      <c r="EMU205" s="199"/>
      <c r="EMV205" s="199"/>
      <c r="EMW205" s="199"/>
      <c r="EMX205" s="199"/>
      <c r="EMY205" s="199"/>
      <c r="EMZ205" s="199"/>
      <c r="ENA205" s="199"/>
      <c r="ENB205" s="199"/>
      <c r="ENC205" s="199"/>
      <c r="END205" s="199"/>
      <c r="ENE205" s="199"/>
      <c r="ENF205" s="199"/>
      <c r="ENG205" s="199"/>
      <c r="ENH205" s="199"/>
      <c r="ENI205" s="199"/>
      <c r="ENJ205" s="199"/>
      <c r="ENK205" s="199"/>
      <c r="ENL205" s="199"/>
      <c r="ENM205" s="199"/>
      <c r="ENN205" s="199"/>
      <c r="ENO205" s="199"/>
      <c r="ENP205" s="199"/>
      <c r="ENQ205" s="199"/>
      <c r="ENR205" s="199"/>
      <c r="ENS205" s="199"/>
      <c r="ENT205" s="199"/>
      <c r="ENU205" s="199"/>
      <c r="ENV205" s="199"/>
      <c r="ENW205" s="199"/>
      <c r="ENX205" s="199"/>
      <c r="ENY205" s="199"/>
      <c r="ENZ205" s="199"/>
      <c r="EOA205" s="199"/>
      <c r="EOB205" s="199"/>
      <c r="EOC205" s="199"/>
      <c r="EOD205" s="199"/>
      <c r="EOE205" s="199"/>
      <c r="EOF205" s="199"/>
      <c r="EOG205" s="199"/>
      <c r="EOH205" s="199"/>
      <c r="EOI205" s="199"/>
      <c r="EOJ205" s="199"/>
      <c r="EOK205" s="199"/>
      <c r="EOL205" s="199"/>
      <c r="EOM205" s="199"/>
      <c r="EON205" s="199"/>
      <c r="EOO205" s="199"/>
      <c r="EOP205" s="199"/>
      <c r="EOQ205" s="199"/>
      <c r="EOR205" s="199"/>
      <c r="EOS205" s="199"/>
      <c r="EOT205" s="199"/>
      <c r="EOU205" s="199"/>
      <c r="EOV205" s="199"/>
      <c r="EOW205" s="199"/>
      <c r="EOX205" s="199"/>
      <c r="EOY205" s="199"/>
      <c r="EOZ205" s="199"/>
      <c r="EPA205" s="199"/>
      <c r="EPB205" s="199"/>
      <c r="EPC205" s="199"/>
      <c r="EPD205" s="199"/>
      <c r="EPE205" s="199"/>
      <c r="EPF205" s="199"/>
      <c r="EPG205" s="199"/>
      <c r="EPH205" s="199"/>
      <c r="EPI205" s="199"/>
      <c r="EPJ205" s="199"/>
      <c r="EPK205" s="199"/>
      <c r="EPL205" s="199"/>
      <c r="EPM205" s="199"/>
      <c r="EPN205" s="199"/>
      <c r="EPO205" s="199"/>
      <c r="EPP205" s="199"/>
      <c r="EPQ205" s="199"/>
      <c r="EPR205" s="199"/>
      <c r="EPS205" s="199"/>
      <c r="EPT205" s="199"/>
      <c r="EPU205" s="199"/>
      <c r="EPV205" s="199"/>
      <c r="EPW205" s="199"/>
      <c r="EPX205" s="199"/>
      <c r="EPY205" s="199"/>
      <c r="EPZ205" s="199"/>
      <c r="EQA205" s="199"/>
      <c r="EQB205" s="199"/>
      <c r="EQC205" s="199"/>
      <c r="EQD205" s="199"/>
      <c r="EQE205" s="199"/>
      <c r="EQF205" s="199"/>
      <c r="EQG205" s="199"/>
      <c r="EQH205" s="199"/>
      <c r="EQI205" s="199"/>
      <c r="EQJ205" s="199"/>
      <c r="EQK205" s="199"/>
      <c r="EQL205" s="199"/>
      <c r="EQM205" s="199"/>
      <c r="EQN205" s="199"/>
      <c r="EQO205" s="199"/>
      <c r="EQP205" s="199"/>
      <c r="EQQ205" s="199"/>
      <c r="EQR205" s="199"/>
      <c r="EQS205" s="199"/>
      <c r="EQT205" s="199"/>
      <c r="EQU205" s="199"/>
      <c r="EQV205" s="199"/>
      <c r="EQW205" s="199"/>
      <c r="EQX205" s="199"/>
      <c r="EQY205" s="199"/>
      <c r="EQZ205" s="199"/>
      <c r="ERA205" s="199"/>
      <c r="ERB205" s="199"/>
      <c r="ERC205" s="199"/>
      <c r="ERD205" s="199"/>
      <c r="ERE205" s="199"/>
      <c r="ERF205" s="199"/>
      <c r="ERG205" s="199"/>
      <c r="ERH205" s="199"/>
      <c r="ERI205" s="199"/>
      <c r="ERJ205" s="199"/>
      <c r="ERK205" s="199"/>
      <c r="ERL205" s="199"/>
      <c r="ERM205" s="199"/>
      <c r="ERN205" s="199"/>
      <c r="ERO205" s="199"/>
      <c r="ERP205" s="199"/>
      <c r="ERQ205" s="199"/>
      <c r="ERR205" s="199"/>
      <c r="ERS205" s="199"/>
      <c r="ERT205" s="199"/>
      <c r="ERU205" s="199"/>
      <c r="ERV205" s="199"/>
      <c r="ERW205" s="199"/>
      <c r="ERX205" s="199"/>
      <c r="ERY205" s="199"/>
      <c r="ERZ205" s="199"/>
      <c r="ESA205" s="199"/>
      <c r="ESB205" s="199"/>
      <c r="ESC205" s="199"/>
      <c r="ESD205" s="199"/>
      <c r="ESE205" s="199"/>
      <c r="ESF205" s="199"/>
      <c r="ESG205" s="199"/>
      <c r="ESH205" s="199"/>
      <c r="ESI205" s="199"/>
      <c r="ESJ205" s="199"/>
      <c r="ESK205" s="199"/>
      <c r="ESL205" s="199"/>
      <c r="ESM205" s="199"/>
      <c r="ESN205" s="199"/>
      <c r="ESO205" s="199"/>
      <c r="ESP205" s="199"/>
      <c r="ESQ205" s="199"/>
      <c r="ESR205" s="199"/>
      <c r="ESS205" s="199"/>
      <c r="EST205" s="199"/>
      <c r="ESU205" s="199"/>
      <c r="ESV205" s="199"/>
      <c r="ESW205" s="199"/>
      <c r="ESX205" s="199"/>
      <c r="ESY205" s="199"/>
      <c r="ESZ205" s="199"/>
      <c r="ETA205" s="199"/>
      <c r="ETB205" s="199"/>
      <c r="ETC205" s="199"/>
      <c r="ETD205" s="199"/>
      <c r="ETE205" s="199"/>
      <c r="ETF205" s="199"/>
      <c r="ETG205" s="199"/>
      <c r="ETH205" s="199"/>
      <c r="ETI205" s="199"/>
      <c r="ETJ205" s="199"/>
      <c r="ETK205" s="199"/>
      <c r="ETL205" s="199"/>
      <c r="ETM205" s="199"/>
      <c r="ETN205" s="199"/>
      <c r="ETO205" s="199"/>
      <c r="ETP205" s="199"/>
      <c r="ETQ205" s="199"/>
      <c r="ETR205" s="199"/>
      <c r="ETS205" s="199"/>
      <c r="ETT205" s="199"/>
      <c r="ETU205" s="199"/>
      <c r="ETV205" s="199"/>
      <c r="ETW205" s="199"/>
      <c r="ETX205" s="199"/>
      <c r="ETY205" s="199"/>
      <c r="ETZ205" s="199"/>
      <c r="EUA205" s="199"/>
      <c r="EUB205" s="199"/>
      <c r="EUC205" s="199"/>
      <c r="EUD205" s="199"/>
      <c r="EUE205" s="199"/>
      <c r="EUF205" s="199"/>
      <c r="EUG205" s="199"/>
      <c r="EUH205" s="199"/>
      <c r="EUI205" s="199"/>
      <c r="EUJ205" s="199"/>
      <c r="EUK205" s="199"/>
      <c r="EUL205" s="199"/>
      <c r="EUM205" s="199"/>
      <c r="EUN205" s="199"/>
      <c r="EUO205" s="199"/>
      <c r="EUP205" s="199"/>
      <c r="EUQ205" s="199"/>
      <c r="EUR205" s="199"/>
      <c r="EUS205" s="199"/>
      <c r="EUT205" s="199"/>
      <c r="EUU205" s="199"/>
      <c r="EUV205" s="199"/>
      <c r="EUW205" s="199"/>
      <c r="EUX205" s="199"/>
      <c r="EUY205" s="199"/>
      <c r="EUZ205" s="199"/>
      <c r="EVA205" s="199"/>
      <c r="EVB205" s="199"/>
      <c r="EVC205" s="199"/>
      <c r="EVD205" s="199"/>
      <c r="EVE205" s="199"/>
      <c r="EVF205" s="199"/>
      <c r="EVG205" s="199"/>
      <c r="EVH205" s="199"/>
      <c r="EVI205" s="199"/>
      <c r="EVJ205" s="199"/>
      <c r="EVK205" s="199"/>
      <c r="EVL205" s="199"/>
      <c r="EVM205" s="199"/>
      <c r="EVN205" s="199"/>
      <c r="EVO205" s="199"/>
      <c r="EVP205" s="199"/>
      <c r="EVQ205" s="199"/>
      <c r="EVR205" s="199"/>
      <c r="EVS205" s="199"/>
      <c r="EVT205" s="199"/>
      <c r="EVU205" s="199"/>
      <c r="EVV205" s="199"/>
      <c r="EVW205" s="199"/>
      <c r="EVX205" s="199"/>
      <c r="EVY205" s="199"/>
      <c r="EVZ205" s="199"/>
      <c r="EWA205" s="199"/>
      <c r="EWB205" s="199"/>
      <c r="EWC205" s="199"/>
      <c r="EWD205" s="199"/>
      <c r="EWE205" s="199"/>
      <c r="EWF205" s="199"/>
      <c r="EWG205" s="199"/>
      <c r="EWH205" s="199"/>
      <c r="EWI205" s="199"/>
      <c r="EWJ205" s="199"/>
      <c r="EWK205" s="199"/>
      <c r="EWL205" s="199"/>
      <c r="EWM205" s="199"/>
      <c r="EWN205" s="199"/>
      <c r="EWO205" s="199"/>
      <c r="EWP205" s="199"/>
      <c r="EWQ205" s="199"/>
      <c r="EWR205" s="199"/>
      <c r="EWS205" s="199"/>
      <c r="EWT205" s="199"/>
      <c r="EWU205" s="199"/>
      <c r="EWV205" s="199"/>
      <c r="EWW205" s="199"/>
      <c r="EWX205" s="199"/>
      <c r="EWY205" s="199"/>
      <c r="EWZ205" s="199"/>
      <c r="EXA205" s="199"/>
      <c r="EXB205" s="199"/>
      <c r="EXC205" s="199"/>
      <c r="EXD205" s="199"/>
      <c r="EXE205" s="199"/>
      <c r="EXF205" s="199"/>
      <c r="EXG205" s="199"/>
      <c r="EXH205" s="199"/>
      <c r="EXI205" s="199"/>
      <c r="EXJ205" s="199"/>
      <c r="EXK205" s="199"/>
      <c r="EXL205" s="199"/>
      <c r="EXM205" s="199"/>
      <c r="EXN205" s="199"/>
      <c r="EXO205" s="199"/>
      <c r="EXP205" s="199"/>
      <c r="EXQ205" s="199"/>
      <c r="EXR205" s="199"/>
      <c r="EXS205" s="199"/>
      <c r="EXT205" s="199"/>
      <c r="EXU205" s="199"/>
      <c r="EXV205" s="199"/>
      <c r="EXW205" s="199"/>
      <c r="EXX205" s="199"/>
      <c r="EXY205" s="199"/>
      <c r="EXZ205" s="199"/>
      <c r="EYA205" s="199"/>
      <c r="EYB205" s="199"/>
      <c r="EYC205" s="199"/>
      <c r="EYD205" s="199"/>
      <c r="EYE205" s="199"/>
      <c r="EYF205" s="199"/>
      <c r="EYG205" s="199"/>
      <c r="EYH205" s="199"/>
      <c r="EYI205" s="199"/>
      <c r="EYJ205" s="199"/>
      <c r="EYK205" s="199"/>
      <c r="EYL205" s="199"/>
      <c r="EYM205" s="199"/>
      <c r="EYN205" s="199"/>
      <c r="EYO205" s="199"/>
      <c r="EYP205" s="199"/>
      <c r="EYQ205" s="199"/>
      <c r="EYR205" s="199"/>
      <c r="EYS205" s="199"/>
      <c r="EYT205" s="199"/>
      <c r="EYU205" s="199"/>
      <c r="EYV205" s="199"/>
      <c r="EYW205" s="199"/>
      <c r="EYX205" s="199"/>
      <c r="EYY205" s="199"/>
      <c r="EYZ205" s="199"/>
      <c r="EZA205" s="199"/>
      <c r="EZB205" s="199"/>
      <c r="EZC205" s="199"/>
      <c r="EZD205" s="199"/>
      <c r="EZE205" s="199"/>
      <c r="EZF205" s="199"/>
      <c r="EZG205" s="199"/>
      <c r="EZH205" s="199"/>
      <c r="EZI205" s="199"/>
      <c r="EZJ205" s="199"/>
      <c r="EZK205" s="199"/>
      <c r="EZL205" s="199"/>
      <c r="EZM205" s="199"/>
      <c r="EZN205" s="199"/>
      <c r="EZO205" s="199"/>
      <c r="EZP205" s="199"/>
      <c r="EZQ205" s="199"/>
      <c r="EZR205" s="199"/>
      <c r="EZS205" s="199"/>
      <c r="EZT205" s="199"/>
      <c r="EZU205" s="199"/>
      <c r="EZV205" s="199"/>
      <c r="EZW205" s="199"/>
      <c r="EZX205" s="199"/>
      <c r="EZY205" s="199"/>
      <c r="EZZ205" s="199"/>
      <c r="FAA205" s="199"/>
      <c r="FAB205" s="199"/>
      <c r="FAC205" s="199"/>
      <c r="FAD205" s="199"/>
      <c r="FAE205" s="199"/>
      <c r="FAF205" s="199"/>
      <c r="FAG205" s="199"/>
      <c r="FAH205" s="199"/>
      <c r="FAI205" s="199"/>
      <c r="FAJ205" s="199"/>
      <c r="FAK205" s="199"/>
      <c r="FAL205" s="199"/>
      <c r="FAM205" s="199"/>
      <c r="FAN205" s="199"/>
      <c r="FAO205" s="199"/>
      <c r="FAP205" s="199"/>
      <c r="FAQ205" s="199"/>
      <c r="FAR205" s="199"/>
      <c r="FAS205" s="199"/>
      <c r="FAT205" s="199"/>
      <c r="FAU205" s="199"/>
      <c r="FAV205" s="199"/>
      <c r="FAW205" s="199"/>
      <c r="FAX205" s="199"/>
      <c r="FAY205" s="199"/>
      <c r="FAZ205" s="199"/>
      <c r="FBA205" s="199"/>
      <c r="FBB205" s="199"/>
      <c r="FBC205" s="199"/>
      <c r="FBD205" s="199"/>
      <c r="FBE205" s="199"/>
      <c r="FBF205" s="199"/>
      <c r="FBG205" s="199"/>
      <c r="FBH205" s="199"/>
      <c r="FBI205" s="199"/>
      <c r="FBJ205" s="199"/>
      <c r="FBK205" s="199"/>
      <c r="FBL205" s="199"/>
      <c r="FBM205" s="199"/>
      <c r="FBN205" s="199"/>
      <c r="FBO205" s="199"/>
      <c r="FBP205" s="199"/>
      <c r="FBQ205" s="199"/>
      <c r="FBR205" s="199"/>
      <c r="FBS205" s="199"/>
      <c r="FBT205" s="199"/>
      <c r="FBU205" s="199"/>
      <c r="FBV205" s="199"/>
      <c r="FBW205" s="199"/>
      <c r="FBX205" s="199"/>
      <c r="FBY205" s="199"/>
      <c r="FBZ205" s="199"/>
      <c r="FCA205" s="199"/>
      <c r="FCB205" s="199"/>
      <c r="FCC205" s="199"/>
      <c r="FCD205" s="199"/>
      <c r="FCE205" s="199"/>
      <c r="FCF205" s="199"/>
      <c r="FCG205" s="199"/>
      <c r="FCH205" s="199"/>
      <c r="FCI205" s="199"/>
      <c r="FCJ205" s="199"/>
      <c r="FCK205" s="199"/>
      <c r="FCL205" s="199"/>
      <c r="FCM205" s="199"/>
      <c r="FCN205" s="199"/>
      <c r="FCO205" s="199"/>
      <c r="FCP205" s="199"/>
      <c r="FCQ205" s="199"/>
      <c r="FCR205" s="199"/>
      <c r="FCS205" s="199"/>
      <c r="FCT205" s="199"/>
      <c r="FCU205" s="199"/>
      <c r="FCV205" s="199"/>
      <c r="FCW205" s="199"/>
      <c r="FCX205" s="199"/>
      <c r="FCY205" s="199"/>
      <c r="FCZ205" s="199"/>
      <c r="FDA205" s="199"/>
      <c r="FDB205" s="199"/>
      <c r="FDC205" s="199"/>
      <c r="FDD205" s="199"/>
      <c r="FDE205" s="199"/>
      <c r="FDF205" s="199"/>
      <c r="FDG205" s="199"/>
      <c r="FDH205" s="199"/>
      <c r="FDI205" s="199"/>
      <c r="FDJ205" s="199"/>
      <c r="FDK205" s="199"/>
      <c r="FDL205" s="199"/>
      <c r="FDM205" s="199"/>
      <c r="FDN205" s="199"/>
      <c r="FDO205" s="199"/>
      <c r="FDP205" s="199"/>
      <c r="FDQ205" s="199"/>
      <c r="FDR205" s="199"/>
      <c r="FDS205" s="199"/>
      <c r="FDT205" s="199"/>
      <c r="FDU205" s="199"/>
      <c r="FDV205" s="199"/>
      <c r="FDW205" s="199"/>
      <c r="FDX205" s="199"/>
      <c r="FDY205" s="199"/>
      <c r="FDZ205" s="199"/>
      <c r="FEA205" s="199"/>
      <c r="FEB205" s="199"/>
      <c r="FEC205" s="199"/>
      <c r="FED205" s="199"/>
      <c r="FEE205" s="199"/>
      <c r="FEF205" s="199"/>
      <c r="FEG205" s="199"/>
      <c r="FEH205" s="199"/>
      <c r="FEI205" s="199"/>
      <c r="FEJ205" s="199"/>
      <c r="FEK205" s="199"/>
      <c r="FEL205" s="199"/>
      <c r="FEM205" s="199"/>
      <c r="FEN205" s="199"/>
      <c r="FEO205" s="199"/>
      <c r="FEP205" s="199"/>
      <c r="FEQ205" s="199"/>
      <c r="FER205" s="199"/>
      <c r="FES205" s="199"/>
      <c r="FET205" s="199"/>
      <c r="FEU205" s="199"/>
      <c r="FEV205" s="199"/>
      <c r="FEW205" s="199"/>
      <c r="FEX205" s="199"/>
      <c r="FEY205" s="199"/>
      <c r="FEZ205" s="199"/>
      <c r="FFA205" s="199"/>
      <c r="FFB205" s="199"/>
      <c r="FFC205" s="199"/>
      <c r="FFD205" s="199"/>
      <c r="FFE205" s="199"/>
      <c r="FFF205" s="199"/>
      <c r="FFG205" s="199"/>
      <c r="FFH205" s="199"/>
      <c r="FFI205" s="199"/>
      <c r="FFJ205" s="199"/>
      <c r="FFK205" s="199"/>
      <c r="FFL205" s="199"/>
      <c r="FFM205" s="199"/>
      <c r="FFN205" s="199"/>
      <c r="FFO205" s="199"/>
      <c r="FFP205" s="199"/>
      <c r="FFQ205" s="199"/>
      <c r="FFR205" s="199"/>
      <c r="FFS205" s="199"/>
      <c r="FFT205" s="199"/>
      <c r="FFU205" s="199"/>
      <c r="FFV205" s="199"/>
      <c r="FFW205" s="199"/>
      <c r="FFX205" s="199"/>
      <c r="FFY205" s="199"/>
      <c r="FFZ205" s="199"/>
      <c r="FGA205" s="199"/>
      <c r="FGB205" s="199"/>
      <c r="FGC205" s="199"/>
      <c r="FGD205" s="199"/>
      <c r="FGE205" s="199"/>
      <c r="FGF205" s="199"/>
      <c r="FGG205" s="199"/>
      <c r="FGH205" s="199"/>
      <c r="FGI205" s="199"/>
      <c r="FGJ205" s="199"/>
      <c r="FGK205" s="199"/>
      <c r="FGL205" s="199"/>
      <c r="FGM205" s="199"/>
      <c r="FGN205" s="199"/>
      <c r="FGO205" s="199"/>
      <c r="FGP205" s="199"/>
      <c r="FGQ205" s="199"/>
      <c r="FGR205" s="199"/>
      <c r="FGS205" s="199"/>
      <c r="FGT205" s="199"/>
      <c r="FGU205" s="199"/>
      <c r="FGV205" s="199"/>
      <c r="FGW205" s="199"/>
      <c r="FGX205" s="199"/>
      <c r="FGY205" s="199"/>
      <c r="FGZ205" s="199"/>
      <c r="FHA205" s="199"/>
      <c r="FHB205" s="199"/>
      <c r="FHC205" s="199"/>
      <c r="FHD205" s="199"/>
      <c r="FHE205" s="199"/>
      <c r="FHF205" s="199"/>
      <c r="FHG205" s="199"/>
      <c r="FHH205" s="199"/>
      <c r="FHI205" s="199"/>
      <c r="FHJ205" s="199"/>
      <c r="FHK205" s="199"/>
      <c r="FHL205" s="199"/>
      <c r="FHM205" s="199"/>
      <c r="FHN205" s="199"/>
      <c r="FHO205" s="199"/>
      <c r="FHP205" s="199"/>
      <c r="FHQ205" s="199"/>
      <c r="FHR205" s="199"/>
      <c r="FHS205" s="199"/>
      <c r="FHT205" s="199"/>
      <c r="FHU205" s="199"/>
      <c r="FHV205" s="199"/>
      <c r="FHW205" s="199"/>
      <c r="FHX205" s="199"/>
      <c r="FHY205" s="199"/>
      <c r="FHZ205" s="199"/>
      <c r="FIA205" s="199"/>
      <c r="FIB205" s="199"/>
      <c r="FIC205" s="199"/>
      <c r="FID205" s="199"/>
      <c r="FIE205" s="199"/>
      <c r="FIF205" s="199"/>
      <c r="FIG205" s="199"/>
      <c r="FIH205" s="199"/>
      <c r="FII205" s="199"/>
      <c r="FIJ205" s="199"/>
      <c r="FIK205" s="199"/>
      <c r="FIL205" s="199"/>
      <c r="FIM205" s="199"/>
      <c r="FIN205" s="199"/>
      <c r="FIO205" s="199"/>
      <c r="FIP205" s="199"/>
      <c r="FIQ205" s="199"/>
      <c r="FIR205" s="199"/>
      <c r="FIS205" s="199"/>
      <c r="FIT205" s="199"/>
      <c r="FIU205" s="199"/>
      <c r="FIV205" s="199"/>
      <c r="FIW205" s="199"/>
      <c r="FIX205" s="199"/>
      <c r="FIY205" s="199"/>
      <c r="FIZ205" s="199"/>
      <c r="FJA205" s="199"/>
      <c r="FJB205" s="199"/>
      <c r="FJC205" s="199"/>
      <c r="FJD205" s="199"/>
      <c r="FJE205" s="199"/>
      <c r="FJF205" s="199"/>
      <c r="FJG205" s="199"/>
      <c r="FJH205" s="199"/>
      <c r="FJI205" s="199"/>
      <c r="FJJ205" s="199"/>
      <c r="FJK205" s="199"/>
      <c r="FJL205" s="199"/>
      <c r="FJM205" s="199"/>
      <c r="FJN205" s="199"/>
      <c r="FJO205" s="199"/>
      <c r="FJP205" s="199"/>
      <c r="FJQ205" s="199"/>
      <c r="FJR205" s="199"/>
      <c r="FJS205" s="199"/>
      <c r="FJT205" s="199"/>
      <c r="FJU205" s="199"/>
      <c r="FJV205" s="199"/>
      <c r="FJW205" s="199"/>
      <c r="FJX205" s="199"/>
      <c r="FJY205" s="199"/>
      <c r="FJZ205" s="199"/>
      <c r="FKA205" s="199"/>
      <c r="FKB205" s="199"/>
      <c r="FKC205" s="199"/>
      <c r="FKD205" s="199"/>
      <c r="FKE205" s="199"/>
      <c r="FKF205" s="199"/>
      <c r="FKG205" s="199"/>
      <c r="FKH205" s="199"/>
      <c r="FKI205" s="199"/>
      <c r="FKJ205" s="199"/>
      <c r="FKK205" s="199"/>
      <c r="FKL205" s="199"/>
      <c r="FKM205" s="199"/>
      <c r="FKN205" s="199"/>
      <c r="FKO205" s="199"/>
      <c r="FKP205" s="199"/>
      <c r="FKQ205" s="199"/>
      <c r="FKR205" s="199"/>
      <c r="FKS205" s="199"/>
      <c r="FKT205" s="199"/>
      <c r="FKU205" s="199"/>
      <c r="FKV205" s="199"/>
      <c r="FKW205" s="199"/>
      <c r="FKX205" s="199"/>
      <c r="FKY205" s="199"/>
      <c r="FKZ205" s="199"/>
      <c r="FLA205" s="199"/>
      <c r="FLB205" s="199"/>
      <c r="FLC205" s="199"/>
      <c r="FLD205" s="199"/>
      <c r="FLE205" s="199"/>
      <c r="FLF205" s="199"/>
      <c r="FLG205" s="199"/>
      <c r="FLH205" s="199"/>
      <c r="FLI205" s="199"/>
      <c r="FLJ205" s="199"/>
      <c r="FLK205" s="199"/>
      <c r="FLL205" s="199"/>
      <c r="FLM205" s="199"/>
      <c r="FLN205" s="199"/>
      <c r="FLO205" s="199"/>
      <c r="FLP205" s="199"/>
      <c r="FLQ205" s="199"/>
      <c r="FLR205" s="199"/>
      <c r="FLS205" s="199"/>
      <c r="FLT205" s="199"/>
      <c r="FLU205" s="199"/>
      <c r="FLV205" s="199"/>
      <c r="FLW205" s="199"/>
      <c r="FLX205" s="199"/>
      <c r="FLY205" s="199"/>
      <c r="FLZ205" s="199"/>
      <c r="FMA205" s="199"/>
      <c r="FMB205" s="199"/>
      <c r="FMC205" s="199"/>
      <c r="FMD205" s="199"/>
      <c r="FME205" s="199"/>
      <c r="FMF205" s="199"/>
      <c r="FMG205" s="199"/>
      <c r="FMH205" s="199"/>
      <c r="FMI205" s="199"/>
      <c r="FMJ205" s="199"/>
      <c r="FMK205" s="199"/>
      <c r="FML205" s="199"/>
      <c r="FMM205" s="199"/>
      <c r="FMN205" s="199"/>
      <c r="FMO205" s="199"/>
      <c r="FMP205" s="199"/>
      <c r="FMQ205" s="199"/>
      <c r="FMR205" s="199"/>
      <c r="FMS205" s="199"/>
      <c r="FMT205" s="199"/>
      <c r="FMU205" s="199"/>
      <c r="FMV205" s="199"/>
      <c r="FMW205" s="199"/>
      <c r="FMX205" s="199"/>
      <c r="FMY205" s="199"/>
      <c r="FMZ205" s="199"/>
      <c r="FNA205" s="199"/>
      <c r="FNB205" s="199"/>
      <c r="FNC205" s="199"/>
      <c r="FND205" s="199"/>
      <c r="FNE205" s="199"/>
      <c r="FNF205" s="199"/>
      <c r="FNG205" s="199"/>
      <c r="FNH205" s="199"/>
      <c r="FNI205" s="199"/>
      <c r="FNJ205" s="199"/>
      <c r="FNK205" s="199"/>
      <c r="FNL205" s="199"/>
      <c r="FNM205" s="199"/>
      <c r="FNN205" s="199"/>
      <c r="FNO205" s="199"/>
      <c r="FNP205" s="199"/>
      <c r="FNQ205" s="199"/>
      <c r="FNR205" s="199"/>
      <c r="FNS205" s="199"/>
      <c r="FNT205" s="199"/>
      <c r="FNU205" s="199"/>
      <c r="FNV205" s="199"/>
      <c r="FNW205" s="199"/>
      <c r="FNX205" s="199"/>
      <c r="FNY205" s="199"/>
      <c r="FNZ205" s="199"/>
      <c r="FOA205" s="199"/>
      <c r="FOB205" s="199"/>
      <c r="FOC205" s="199"/>
      <c r="FOD205" s="199"/>
      <c r="FOE205" s="199"/>
      <c r="FOF205" s="199"/>
      <c r="FOG205" s="199"/>
      <c r="FOH205" s="199"/>
      <c r="FOI205" s="199"/>
      <c r="FOJ205" s="199"/>
      <c r="FOK205" s="199"/>
      <c r="FOL205" s="199"/>
      <c r="FOM205" s="199"/>
      <c r="FON205" s="199"/>
      <c r="FOO205" s="199"/>
      <c r="FOP205" s="199"/>
      <c r="FOQ205" s="199"/>
      <c r="FOR205" s="199"/>
      <c r="FOS205" s="199"/>
      <c r="FOT205" s="199"/>
      <c r="FOU205" s="199"/>
      <c r="FOV205" s="199"/>
      <c r="FOW205" s="199"/>
      <c r="FOX205" s="199"/>
      <c r="FOY205" s="199"/>
      <c r="FOZ205" s="199"/>
      <c r="FPA205" s="199"/>
      <c r="FPB205" s="199"/>
      <c r="FPC205" s="199"/>
      <c r="FPD205" s="199"/>
      <c r="FPE205" s="199"/>
      <c r="FPF205" s="199"/>
      <c r="FPG205" s="199"/>
      <c r="FPH205" s="199"/>
      <c r="FPI205" s="199"/>
      <c r="FPJ205" s="199"/>
      <c r="FPK205" s="199"/>
      <c r="FPL205" s="199"/>
      <c r="FPM205" s="199"/>
      <c r="FPN205" s="199"/>
      <c r="FPO205" s="199"/>
      <c r="FPP205" s="199"/>
      <c r="FPQ205" s="199"/>
      <c r="FPR205" s="199"/>
      <c r="FPS205" s="199"/>
      <c r="FPT205" s="199"/>
      <c r="FPU205" s="199"/>
      <c r="FPV205" s="199"/>
      <c r="FPW205" s="199"/>
      <c r="FPX205" s="199"/>
      <c r="FPY205" s="199"/>
      <c r="FPZ205" s="199"/>
      <c r="FQA205" s="199"/>
      <c r="FQB205" s="199"/>
      <c r="FQC205" s="199"/>
      <c r="FQD205" s="199"/>
      <c r="FQE205" s="199"/>
      <c r="FQF205" s="199"/>
      <c r="FQG205" s="199"/>
      <c r="FQH205" s="199"/>
      <c r="FQI205" s="199"/>
      <c r="FQJ205" s="199"/>
      <c r="FQK205" s="199"/>
      <c r="FQL205" s="199"/>
      <c r="FQM205" s="199"/>
      <c r="FQN205" s="199"/>
      <c r="FQO205" s="199"/>
      <c r="FQP205" s="199"/>
      <c r="FQQ205" s="199"/>
      <c r="FQR205" s="199"/>
      <c r="FQS205" s="199"/>
      <c r="FQT205" s="199"/>
      <c r="FQU205" s="199"/>
      <c r="FQV205" s="199"/>
      <c r="FQW205" s="199"/>
      <c r="FQX205" s="199"/>
      <c r="FQY205" s="199"/>
      <c r="FQZ205" s="199"/>
      <c r="FRA205" s="199"/>
      <c r="FRB205" s="199"/>
      <c r="FRC205" s="199"/>
      <c r="FRD205" s="199"/>
      <c r="FRE205" s="199"/>
      <c r="FRF205" s="199"/>
      <c r="FRG205" s="199"/>
      <c r="FRH205" s="199"/>
      <c r="FRI205" s="199"/>
      <c r="FRJ205" s="199"/>
      <c r="FRK205" s="199"/>
      <c r="FRL205" s="199"/>
      <c r="FRM205" s="199"/>
      <c r="FRN205" s="199"/>
      <c r="FRO205" s="199"/>
      <c r="FRP205" s="199"/>
      <c r="FRQ205" s="199"/>
      <c r="FRR205" s="199"/>
      <c r="FRS205" s="199"/>
      <c r="FRT205" s="199"/>
      <c r="FRU205" s="199"/>
      <c r="FRV205" s="199"/>
      <c r="FRW205" s="199"/>
      <c r="FRX205" s="199"/>
      <c r="FRY205" s="199"/>
      <c r="FRZ205" s="199"/>
      <c r="FSA205" s="199"/>
      <c r="FSB205" s="199"/>
      <c r="FSC205" s="199"/>
      <c r="FSD205" s="199"/>
      <c r="FSE205" s="199"/>
      <c r="FSF205" s="199"/>
      <c r="FSG205" s="199"/>
      <c r="FSH205" s="199"/>
      <c r="FSI205" s="199"/>
      <c r="FSJ205" s="199"/>
      <c r="FSK205" s="199"/>
      <c r="FSL205" s="199"/>
      <c r="FSM205" s="199"/>
      <c r="FSN205" s="199"/>
      <c r="FSO205" s="199"/>
      <c r="FSP205" s="199"/>
      <c r="FSQ205" s="199"/>
      <c r="FSR205" s="199"/>
      <c r="FSS205" s="199"/>
      <c r="FST205" s="199"/>
      <c r="FSU205" s="199"/>
      <c r="FSV205" s="199"/>
      <c r="FSW205" s="199"/>
      <c r="FSX205" s="199"/>
      <c r="FSY205" s="199"/>
      <c r="FSZ205" s="199"/>
      <c r="FTA205" s="199"/>
      <c r="FTB205" s="199"/>
      <c r="FTC205" s="199"/>
      <c r="FTD205" s="199"/>
      <c r="FTE205" s="199"/>
      <c r="FTF205" s="199"/>
      <c r="FTG205" s="199"/>
      <c r="FTH205" s="199"/>
      <c r="FTI205" s="199"/>
      <c r="FTJ205" s="199"/>
      <c r="FTK205" s="199"/>
      <c r="FTL205" s="199"/>
      <c r="FTM205" s="199"/>
      <c r="FTN205" s="199"/>
      <c r="FTO205" s="199"/>
      <c r="FTP205" s="199"/>
      <c r="FTQ205" s="199"/>
      <c r="FTR205" s="199"/>
      <c r="FTS205" s="199"/>
      <c r="FTT205" s="199"/>
      <c r="FTU205" s="199"/>
      <c r="FTV205" s="199"/>
      <c r="FTW205" s="199"/>
      <c r="FTX205" s="199"/>
      <c r="FTY205" s="199"/>
      <c r="FTZ205" s="199"/>
      <c r="FUA205" s="199"/>
      <c r="FUB205" s="199"/>
      <c r="FUC205" s="199"/>
      <c r="FUD205" s="199"/>
      <c r="FUE205" s="199"/>
      <c r="FUF205" s="199"/>
      <c r="FUG205" s="199"/>
      <c r="FUH205" s="199"/>
      <c r="FUI205" s="199"/>
      <c r="FUJ205" s="199"/>
      <c r="FUK205" s="199"/>
      <c r="FUL205" s="199"/>
      <c r="FUM205" s="199"/>
      <c r="FUN205" s="199"/>
      <c r="FUO205" s="199"/>
      <c r="FUP205" s="199"/>
      <c r="FUQ205" s="199"/>
      <c r="FUR205" s="199"/>
      <c r="FUS205" s="199"/>
      <c r="FUT205" s="199"/>
      <c r="FUU205" s="199"/>
      <c r="FUV205" s="199"/>
      <c r="FUW205" s="199"/>
      <c r="FUX205" s="199"/>
      <c r="FUY205" s="199"/>
      <c r="FUZ205" s="199"/>
      <c r="FVA205" s="199"/>
      <c r="FVB205" s="199"/>
      <c r="FVC205" s="199"/>
      <c r="FVD205" s="199"/>
      <c r="FVE205" s="199"/>
      <c r="FVF205" s="199"/>
      <c r="FVG205" s="199"/>
      <c r="FVH205" s="199"/>
      <c r="FVI205" s="199"/>
      <c r="FVJ205" s="199"/>
      <c r="FVK205" s="199"/>
      <c r="FVL205" s="199"/>
      <c r="FVM205" s="199"/>
      <c r="FVN205" s="199"/>
      <c r="FVO205" s="199"/>
      <c r="FVP205" s="199"/>
      <c r="FVQ205" s="199"/>
      <c r="FVR205" s="199"/>
      <c r="FVS205" s="199"/>
      <c r="FVT205" s="199"/>
      <c r="FVU205" s="199"/>
      <c r="FVV205" s="199"/>
      <c r="FVW205" s="199"/>
      <c r="FVX205" s="199"/>
      <c r="FVY205" s="199"/>
      <c r="FVZ205" s="199"/>
      <c r="FWA205" s="199"/>
      <c r="FWB205" s="199"/>
      <c r="FWC205" s="199"/>
      <c r="FWD205" s="199"/>
      <c r="FWE205" s="199"/>
      <c r="FWF205" s="199"/>
      <c r="FWG205" s="199"/>
      <c r="FWH205" s="199"/>
      <c r="FWI205" s="199"/>
      <c r="FWJ205" s="199"/>
      <c r="FWK205" s="199"/>
      <c r="FWL205" s="199"/>
      <c r="FWM205" s="199"/>
      <c r="FWN205" s="199"/>
      <c r="FWO205" s="199"/>
      <c r="FWP205" s="199"/>
      <c r="FWQ205" s="199"/>
      <c r="FWR205" s="199"/>
      <c r="FWS205" s="199"/>
      <c r="FWT205" s="199"/>
      <c r="FWU205" s="199"/>
      <c r="FWV205" s="199"/>
      <c r="FWW205" s="199"/>
      <c r="FWX205" s="199"/>
      <c r="FWY205" s="199"/>
      <c r="FWZ205" s="199"/>
      <c r="FXA205" s="199"/>
      <c r="FXB205" s="199"/>
      <c r="FXC205" s="199"/>
      <c r="FXD205" s="199"/>
      <c r="FXE205" s="199"/>
      <c r="FXF205" s="199"/>
      <c r="FXG205" s="199"/>
      <c r="FXH205" s="199"/>
      <c r="FXI205" s="199"/>
      <c r="FXJ205" s="199"/>
      <c r="FXK205" s="199"/>
      <c r="FXL205" s="199"/>
      <c r="FXM205" s="199"/>
      <c r="FXN205" s="199"/>
      <c r="FXO205" s="199"/>
      <c r="FXP205" s="199"/>
      <c r="FXQ205" s="199"/>
      <c r="FXR205" s="199"/>
      <c r="FXS205" s="199"/>
      <c r="FXT205" s="199"/>
      <c r="FXU205" s="199"/>
      <c r="FXV205" s="199"/>
      <c r="FXW205" s="199"/>
      <c r="FXX205" s="199"/>
      <c r="FXY205" s="199"/>
      <c r="FXZ205" s="199"/>
      <c r="FYA205" s="199"/>
      <c r="FYB205" s="199"/>
      <c r="FYC205" s="199"/>
      <c r="FYD205" s="199"/>
      <c r="FYE205" s="199"/>
      <c r="FYF205" s="199"/>
      <c r="FYG205" s="199"/>
      <c r="FYH205" s="199"/>
      <c r="FYI205" s="199"/>
      <c r="FYJ205" s="199"/>
      <c r="FYK205" s="199"/>
      <c r="FYL205" s="199"/>
      <c r="FYM205" s="199"/>
      <c r="FYN205" s="199"/>
      <c r="FYO205" s="199"/>
      <c r="FYP205" s="199"/>
      <c r="FYQ205" s="199"/>
      <c r="FYR205" s="199"/>
      <c r="FYS205" s="199"/>
      <c r="FYT205" s="199"/>
      <c r="FYU205" s="199"/>
      <c r="FYV205" s="199"/>
      <c r="FYW205" s="199"/>
      <c r="FYX205" s="199"/>
      <c r="FYY205" s="199"/>
      <c r="FYZ205" s="199"/>
      <c r="FZA205" s="199"/>
      <c r="FZB205" s="199"/>
      <c r="FZC205" s="199"/>
      <c r="FZD205" s="199"/>
      <c r="FZE205" s="199"/>
      <c r="FZF205" s="199"/>
      <c r="FZG205" s="199"/>
      <c r="FZH205" s="199"/>
      <c r="FZI205" s="199"/>
      <c r="FZJ205" s="199"/>
      <c r="FZK205" s="199"/>
      <c r="FZL205" s="199"/>
      <c r="FZM205" s="199"/>
      <c r="FZN205" s="199"/>
      <c r="FZO205" s="199"/>
      <c r="FZP205" s="199"/>
      <c r="FZQ205" s="199"/>
      <c r="FZR205" s="199"/>
      <c r="FZS205" s="199"/>
      <c r="FZT205" s="199"/>
      <c r="FZU205" s="199"/>
      <c r="FZV205" s="199"/>
      <c r="FZW205" s="199"/>
      <c r="FZX205" s="199"/>
      <c r="FZY205" s="199"/>
      <c r="FZZ205" s="199"/>
      <c r="GAA205" s="199"/>
      <c r="GAB205" s="199"/>
      <c r="GAC205" s="199"/>
      <c r="GAD205" s="199"/>
      <c r="GAE205" s="199"/>
      <c r="GAF205" s="199"/>
      <c r="GAG205" s="199"/>
      <c r="GAH205" s="199"/>
      <c r="GAI205" s="199"/>
      <c r="GAJ205" s="199"/>
      <c r="GAK205" s="199"/>
      <c r="GAL205" s="199"/>
      <c r="GAM205" s="199"/>
      <c r="GAN205" s="199"/>
      <c r="GAO205" s="199"/>
      <c r="GAP205" s="199"/>
      <c r="GAQ205" s="199"/>
      <c r="GAR205" s="199"/>
      <c r="GAS205" s="199"/>
      <c r="GAT205" s="199"/>
      <c r="GAU205" s="199"/>
      <c r="GAV205" s="199"/>
      <c r="GAW205" s="199"/>
      <c r="GAX205" s="199"/>
      <c r="GAY205" s="199"/>
      <c r="GAZ205" s="199"/>
      <c r="GBA205" s="199"/>
      <c r="GBB205" s="199"/>
      <c r="GBC205" s="199"/>
      <c r="GBD205" s="199"/>
      <c r="GBE205" s="199"/>
      <c r="GBF205" s="199"/>
      <c r="GBG205" s="199"/>
      <c r="GBH205" s="199"/>
      <c r="GBI205" s="199"/>
      <c r="GBJ205" s="199"/>
      <c r="GBK205" s="199"/>
      <c r="GBL205" s="199"/>
      <c r="GBM205" s="199"/>
      <c r="GBN205" s="199"/>
      <c r="GBO205" s="199"/>
      <c r="GBP205" s="199"/>
      <c r="GBQ205" s="199"/>
      <c r="GBR205" s="199"/>
      <c r="GBS205" s="199"/>
      <c r="GBT205" s="199"/>
      <c r="GBU205" s="199"/>
      <c r="GBV205" s="199"/>
      <c r="GBW205" s="199"/>
      <c r="GBX205" s="199"/>
      <c r="GBY205" s="199"/>
      <c r="GBZ205" s="199"/>
      <c r="GCA205" s="199"/>
      <c r="GCB205" s="199"/>
      <c r="GCC205" s="199"/>
      <c r="GCD205" s="199"/>
      <c r="GCE205" s="199"/>
      <c r="GCF205" s="199"/>
      <c r="GCG205" s="199"/>
      <c r="GCH205" s="199"/>
      <c r="GCI205" s="199"/>
      <c r="GCJ205" s="199"/>
      <c r="GCK205" s="199"/>
      <c r="GCL205" s="199"/>
      <c r="GCM205" s="199"/>
      <c r="GCN205" s="199"/>
      <c r="GCO205" s="199"/>
      <c r="GCP205" s="199"/>
      <c r="GCQ205" s="199"/>
      <c r="GCR205" s="199"/>
      <c r="GCS205" s="199"/>
      <c r="GCT205" s="199"/>
      <c r="GCU205" s="199"/>
      <c r="GCV205" s="199"/>
      <c r="GCW205" s="199"/>
      <c r="GCX205" s="199"/>
      <c r="GCY205" s="199"/>
      <c r="GCZ205" s="199"/>
      <c r="GDA205" s="199"/>
      <c r="GDB205" s="199"/>
      <c r="GDC205" s="199"/>
      <c r="GDD205" s="199"/>
      <c r="GDE205" s="199"/>
      <c r="GDF205" s="199"/>
      <c r="GDG205" s="199"/>
      <c r="GDH205" s="199"/>
      <c r="GDI205" s="199"/>
      <c r="GDJ205" s="199"/>
      <c r="GDK205" s="199"/>
      <c r="GDL205" s="199"/>
      <c r="GDM205" s="199"/>
      <c r="GDN205" s="199"/>
      <c r="GDO205" s="199"/>
      <c r="GDP205" s="199"/>
      <c r="GDQ205" s="199"/>
      <c r="GDR205" s="199"/>
      <c r="GDS205" s="199"/>
      <c r="GDT205" s="199"/>
      <c r="GDU205" s="199"/>
      <c r="GDV205" s="199"/>
      <c r="GDW205" s="199"/>
      <c r="GDX205" s="199"/>
      <c r="GDY205" s="199"/>
      <c r="GDZ205" s="199"/>
      <c r="GEA205" s="199"/>
      <c r="GEB205" s="199"/>
      <c r="GEC205" s="199"/>
      <c r="GED205" s="199"/>
      <c r="GEE205" s="199"/>
      <c r="GEF205" s="199"/>
      <c r="GEG205" s="199"/>
      <c r="GEH205" s="199"/>
      <c r="GEI205" s="199"/>
      <c r="GEJ205" s="199"/>
      <c r="GEK205" s="199"/>
      <c r="GEL205" s="199"/>
      <c r="GEM205" s="199"/>
      <c r="GEN205" s="199"/>
      <c r="GEO205" s="199"/>
      <c r="GEP205" s="199"/>
      <c r="GEQ205" s="199"/>
      <c r="GER205" s="199"/>
      <c r="GES205" s="199"/>
      <c r="GET205" s="199"/>
      <c r="GEU205" s="199"/>
      <c r="GEV205" s="199"/>
      <c r="GEW205" s="199"/>
      <c r="GEX205" s="199"/>
      <c r="GEY205" s="199"/>
      <c r="GEZ205" s="199"/>
      <c r="GFA205" s="199"/>
      <c r="GFB205" s="199"/>
      <c r="GFC205" s="199"/>
      <c r="GFD205" s="199"/>
      <c r="GFE205" s="199"/>
      <c r="GFF205" s="199"/>
      <c r="GFG205" s="199"/>
      <c r="GFH205" s="199"/>
      <c r="GFI205" s="199"/>
      <c r="GFJ205" s="199"/>
      <c r="GFK205" s="199"/>
      <c r="GFL205" s="199"/>
      <c r="GFM205" s="199"/>
      <c r="GFN205" s="199"/>
      <c r="GFO205" s="199"/>
      <c r="GFP205" s="199"/>
      <c r="GFQ205" s="199"/>
      <c r="GFR205" s="199"/>
      <c r="GFS205" s="199"/>
      <c r="GFT205" s="199"/>
      <c r="GFU205" s="199"/>
      <c r="GFV205" s="199"/>
      <c r="GFW205" s="199"/>
      <c r="GFX205" s="199"/>
      <c r="GFY205" s="199"/>
      <c r="GFZ205" s="199"/>
      <c r="GGA205" s="199"/>
      <c r="GGB205" s="199"/>
      <c r="GGC205" s="199"/>
      <c r="GGD205" s="199"/>
      <c r="GGE205" s="199"/>
      <c r="GGF205" s="199"/>
      <c r="GGG205" s="199"/>
      <c r="GGH205" s="199"/>
      <c r="GGI205" s="199"/>
      <c r="GGJ205" s="199"/>
      <c r="GGK205" s="199"/>
      <c r="GGL205" s="199"/>
      <c r="GGM205" s="199"/>
      <c r="GGN205" s="199"/>
      <c r="GGO205" s="199"/>
      <c r="GGP205" s="199"/>
      <c r="GGQ205" s="199"/>
      <c r="GGR205" s="199"/>
      <c r="GGS205" s="199"/>
      <c r="GGT205" s="199"/>
      <c r="GGU205" s="199"/>
      <c r="GGV205" s="199"/>
      <c r="GGW205" s="199"/>
      <c r="GGX205" s="199"/>
      <c r="GGY205" s="199"/>
      <c r="GGZ205" s="199"/>
      <c r="GHA205" s="199"/>
      <c r="GHB205" s="199"/>
      <c r="GHC205" s="199"/>
      <c r="GHD205" s="199"/>
      <c r="GHE205" s="199"/>
      <c r="GHF205" s="199"/>
      <c r="GHG205" s="199"/>
      <c r="GHH205" s="199"/>
      <c r="GHI205" s="199"/>
      <c r="GHJ205" s="199"/>
      <c r="GHK205" s="199"/>
      <c r="GHL205" s="199"/>
      <c r="GHM205" s="199"/>
      <c r="GHN205" s="199"/>
      <c r="GHO205" s="199"/>
      <c r="GHP205" s="199"/>
      <c r="GHQ205" s="199"/>
      <c r="GHR205" s="199"/>
      <c r="GHS205" s="199"/>
      <c r="GHT205" s="199"/>
      <c r="GHU205" s="199"/>
      <c r="GHV205" s="199"/>
      <c r="GHW205" s="199"/>
      <c r="GHX205" s="199"/>
      <c r="GHY205" s="199"/>
      <c r="GHZ205" s="199"/>
      <c r="GIA205" s="199"/>
      <c r="GIB205" s="199"/>
      <c r="GIC205" s="199"/>
      <c r="GID205" s="199"/>
      <c r="GIE205" s="199"/>
      <c r="GIF205" s="199"/>
      <c r="GIG205" s="199"/>
      <c r="GIH205" s="199"/>
      <c r="GII205" s="199"/>
      <c r="GIJ205" s="199"/>
      <c r="GIK205" s="199"/>
      <c r="GIL205" s="199"/>
      <c r="GIM205" s="199"/>
      <c r="GIN205" s="199"/>
      <c r="GIO205" s="199"/>
      <c r="GIP205" s="199"/>
      <c r="GIQ205" s="199"/>
      <c r="GIR205" s="199"/>
      <c r="GIS205" s="199"/>
      <c r="GIT205" s="199"/>
      <c r="GIU205" s="199"/>
      <c r="GIV205" s="199"/>
      <c r="GIW205" s="199"/>
      <c r="GIX205" s="199"/>
      <c r="GIY205" s="199"/>
      <c r="GIZ205" s="199"/>
      <c r="GJA205" s="199"/>
      <c r="GJB205" s="199"/>
      <c r="GJC205" s="199"/>
      <c r="GJD205" s="199"/>
      <c r="GJE205" s="199"/>
      <c r="GJF205" s="199"/>
      <c r="GJG205" s="199"/>
      <c r="GJH205" s="199"/>
      <c r="GJI205" s="199"/>
      <c r="GJJ205" s="199"/>
      <c r="GJK205" s="199"/>
      <c r="GJL205" s="199"/>
      <c r="GJM205" s="199"/>
      <c r="GJN205" s="199"/>
      <c r="GJO205" s="199"/>
      <c r="GJP205" s="199"/>
      <c r="GJQ205" s="199"/>
      <c r="GJR205" s="199"/>
      <c r="GJS205" s="199"/>
      <c r="GJT205" s="199"/>
      <c r="GJU205" s="199"/>
      <c r="GJV205" s="199"/>
      <c r="GJW205" s="199"/>
      <c r="GJX205" s="199"/>
      <c r="GJY205" s="199"/>
      <c r="GJZ205" s="199"/>
      <c r="GKA205" s="199"/>
      <c r="GKB205" s="199"/>
      <c r="GKC205" s="199"/>
      <c r="GKD205" s="199"/>
      <c r="GKE205" s="199"/>
      <c r="GKF205" s="199"/>
      <c r="GKG205" s="199"/>
      <c r="GKH205" s="199"/>
      <c r="GKI205" s="199"/>
      <c r="GKJ205" s="199"/>
      <c r="GKK205" s="199"/>
      <c r="GKL205" s="199"/>
      <c r="GKM205" s="199"/>
      <c r="GKN205" s="199"/>
      <c r="GKO205" s="199"/>
      <c r="GKP205" s="199"/>
      <c r="GKQ205" s="199"/>
      <c r="GKR205" s="199"/>
      <c r="GKS205" s="199"/>
      <c r="GKT205" s="199"/>
      <c r="GKU205" s="199"/>
      <c r="GKV205" s="199"/>
      <c r="GKW205" s="199"/>
      <c r="GKX205" s="199"/>
      <c r="GKY205" s="199"/>
      <c r="GKZ205" s="199"/>
      <c r="GLA205" s="199"/>
      <c r="GLB205" s="199"/>
      <c r="GLC205" s="199"/>
      <c r="GLD205" s="199"/>
      <c r="GLE205" s="199"/>
      <c r="GLF205" s="199"/>
      <c r="GLG205" s="199"/>
      <c r="GLH205" s="199"/>
      <c r="GLI205" s="199"/>
      <c r="GLJ205" s="199"/>
      <c r="GLK205" s="199"/>
      <c r="GLL205" s="199"/>
      <c r="GLM205" s="199"/>
      <c r="GLN205" s="199"/>
      <c r="GLO205" s="199"/>
      <c r="GLP205" s="199"/>
      <c r="GLQ205" s="199"/>
      <c r="GLR205" s="199"/>
      <c r="GLS205" s="199"/>
      <c r="GLT205" s="199"/>
      <c r="GLU205" s="199"/>
      <c r="GLV205" s="199"/>
      <c r="GLW205" s="199"/>
      <c r="GLX205" s="199"/>
      <c r="GLY205" s="199"/>
      <c r="GLZ205" s="199"/>
      <c r="GMA205" s="199"/>
      <c r="GMB205" s="199"/>
      <c r="GMC205" s="199"/>
      <c r="GMD205" s="199"/>
      <c r="GME205" s="199"/>
      <c r="GMF205" s="199"/>
      <c r="GMG205" s="199"/>
      <c r="GMH205" s="199"/>
      <c r="GMI205" s="199"/>
      <c r="GMJ205" s="199"/>
      <c r="GMK205" s="199"/>
      <c r="GML205" s="199"/>
      <c r="GMM205" s="199"/>
      <c r="GMN205" s="199"/>
      <c r="GMO205" s="199"/>
      <c r="GMP205" s="199"/>
      <c r="GMQ205" s="199"/>
      <c r="GMR205" s="199"/>
      <c r="GMS205" s="199"/>
      <c r="GMT205" s="199"/>
      <c r="GMU205" s="199"/>
      <c r="GMV205" s="199"/>
      <c r="GMW205" s="199"/>
      <c r="GMX205" s="199"/>
      <c r="GMY205" s="199"/>
      <c r="GMZ205" s="199"/>
      <c r="GNA205" s="199"/>
      <c r="GNB205" s="199"/>
      <c r="GNC205" s="199"/>
      <c r="GND205" s="199"/>
      <c r="GNE205" s="199"/>
      <c r="GNF205" s="199"/>
      <c r="GNG205" s="199"/>
      <c r="GNH205" s="199"/>
      <c r="GNI205" s="199"/>
      <c r="GNJ205" s="199"/>
      <c r="GNK205" s="199"/>
      <c r="GNL205" s="199"/>
      <c r="GNM205" s="199"/>
      <c r="GNN205" s="199"/>
      <c r="GNO205" s="199"/>
      <c r="GNP205" s="199"/>
      <c r="GNQ205" s="199"/>
      <c r="GNR205" s="199"/>
      <c r="GNS205" s="199"/>
      <c r="GNT205" s="199"/>
      <c r="GNU205" s="199"/>
      <c r="GNV205" s="199"/>
      <c r="GNW205" s="199"/>
      <c r="GNX205" s="199"/>
      <c r="GNY205" s="199"/>
      <c r="GNZ205" s="199"/>
      <c r="GOA205" s="199"/>
      <c r="GOB205" s="199"/>
      <c r="GOC205" s="199"/>
      <c r="GOD205" s="199"/>
      <c r="GOE205" s="199"/>
      <c r="GOF205" s="199"/>
      <c r="GOG205" s="199"/>
      <c r="GOH205" s="199"/>
      <c r="GOI205" s="199"/>
      <c r="GOJ205" s="199"/>
      <c r="GOK205" s="199"/>
      <c r="GOL205" s="199"/>
      <c r="GOM205" s="199"/>
      <c r="GON205" s="199"/>
      <c r="GOO205" s="199"/>
      <c r="GOP205" s="199"/>
      <c r="GOQ205" s="199"/>
      <c r="GOR205" s="199"/>
      <c r="GOS205" s="199"/>
      <c r="GOT205" s="199"/>
      <c r="GOU205" s="199"/>
      <c r="GOV205" s="199"/>
      <c r="GOW205" s="199"/>
      <c r="GOX205" s="199"/>
      <c r="GOY205" s="199"/>
      <c r="GOZ205" s="199"/>
      <c r="GPA205" s="199"/>
      <c r="GPB205" s="199"/>
      <c r="GPC205" s="199"/>
      <c r="GPD205" s="199"/>
      <c r="GPE205" s="199"/>
      <c r="GPF205" s="199"/>
      <c r="GPG205" s="199"/>
      <c r="GPH205" s="199"/>
      <c r="GPI205" s="199"/>
      <c r="GPJ205" s="199"/>
      <c r="GPK205" s="199"/>
      <c r="GPL205" s="199"/>
      <c r="GPM205" s="199"/>
      <c r="GPN205" s="199"/>
      <c r="GPO205" s="199"/>
      <c r="GPP205" s="199"/>
      <c r="GPQ205" s="199"/>
      <c r="GPR205" s="199"/>
      <c r="GPS205" s="199"/>
      <c r="GPT205" s="199"/>
      <c r="GPU205" s="199"/>
      <c r="GPV205" s="199"/>
      <c r="GPW205" s="199"/>
      <c r="GPX205" s="199"/>
      <c r="GPY205" s="199"/>
      <c r="GPZ205" s="199"/>
      <c r="GQA205" s="199"/>
      <c r="GQB205" s="199"/>
      <c r="GQC205" s="199"/>
      <c r="GQD205" s="199"/>
      <c r="GQE205" s="199"/>
      <c r="GQF205" s="199"/>
      <c r="GQG205" s="199"/>
      <c r="GQH205" s="199"/>
      <c r="GQI205" s="199"/>
      <c r="GQJ205" s="199"/>
      <c r="GQK205" s="199"/>
      <c r="GQL205" s="199"/>
      <c r="GQM205" s="199"/>
      <c r="GQN205" s="199"/>
      <c r="GQO205" s="199"/>
      <c r="GQP205" s="199"/>
      <c r="GQQ205" s="199"/>
      <c r="GQR205" s="199"/>
      <c r="GQS205" s="199"/>
      <c r="GQT205" s="199"/>
      <c r="GQU205" s="199"/>
      <c r="GQV205" s="199"/>
      <c r="GQW205" s="199"/>
      <c r="GQX205" s="199"/>
      <c r="GQY205" s="199"/>
      <c r="GQZ205" s="199"/>
      <c r="GRA205" s="199"/>
      <c r="GRB205" s="199"/>
      <c r="GRC205" s="199"/>
      <c r="GRD205" s="199"/>
      <c r="GRE205" s="199"/>
      <c r="GRF205" s="199"/>
      <c r="GRG205" s="199"/>
      <c r="GRH205" s="199"/>
      <c r="GRI205" s="199"/>
      <c r="GRJ205" s="199"/>
      <c r="GRK205" s="199"/>
      <c r="GRL205" s="199"/>
      <c r="GRM205" s="199"/>
      <c r="GRN205" s="199"/>
      <c r="GRO205" s="199"/>
      <c r="GRP205" s="199"/>
      <c r="GRQ205" s="199"/>
      <c r="GRR205" s="199"/>
      <c r="GRS205" s="199"/>
      <c r="GRT205" s="199"/>
      <c r="GRU205" s="199"/>
      <c r="GRV205" s="199"/>
      <c r="GRW205" s="199"/>
      <c r="GRX205" s="199"/>
      <c r="GRY205" s="199"/>
      <c r="GRZ205" s="199"/>
      <c r="GSA205" s="199"/>
      <c r="GSB205" s="199"/>
      <c r="GSC205" s="199"/>
      <c r="GSD205" s="199"/>
      <c r="GSE205" s="199"/>
      <c r="GSF205" s="199"/>
      <c r="GSG205" s="199"/>
      <c r="GSH205" s="199"/>
      <c r="GSI205" s="199"/>
      <c r="GSJ205" s="199"/>
      <c r="GSK205" s="199"/>
      <c r="GSL205" s="199"/>
      <c r="GSM205" s="199"/>
      <c r="GSN205" s="199"/>
      <c r="GSO205" s="199"/>
      <c r="GSP205" s="199"/>
      <c r="GSQ205" s="199"/>
      <c r="GSR205" s="199"/>
      <c r="GSS205" s="199"/>
      <c r="GST205" s="199"/>
      <c r="GSU205" s="199"/>
      <c r="GSV205" s="199"/>
      <c r="GSW205" s="199"/>
      <c r="GSX205" s="199"/>
      <c r="GSY205" s="199"/>
      <c r="GSZ205" s="199"/>
      <c r="GTA205" s="199"/>
      <c r="GTB205" s="199"/>
      <c r="GTC205" s="199"/>
      <c r="GTD205" s="199"/>
      <c r="GTE205" s="199"/>
      <c r="GTF205" s="199"/>
      <c r="GTG205" s="199"/>
      <c r="GTH205" s="199"/>
      <c r="GTI205" s="199"/>
      <c r="GTJ205" s="199"/>
      <c r="GTK205" s="199"/>
      <c r="GTL205" s="199"/>
      <c r="GTM205" s="199"/>
      <c r="GTN205" s="199"/>
      <c r="GTO205" s="199"/>
      <c r="GTP205" s="199"/>
      <c r="GTQ205" s="199"/>
      <c r="GTR205" s="199"/>
      <c r="GTS205" s="199"/>
      <c r="GTT205" s="199"/>
      <c r="GTU205" s="199"/>
      <c r="GTV205" s="199"/>
      <c r="GTW205" s="199"/>
      <c r="GTX205" s="199"/>
      <c r="GTY205" s="199"/>
      <c r="GTZ205" s="199"/>
      <c r="GUA205" s="199"/>
      <c r="GUB205" s="199"/>
      <c r="GUC205" s="199"/>
      <c r="GUD205" s="199"/>
      <c r="GUE205" s="199"/>
      <c r="GUF205" s="199"/>
      <c r="GUG205" s="199"/>
      <c r="GUH205" s="199"/>
      <c r="GUI205" s="199"/>
      <c r="GUJ205" s="199"/>
      <c r="GUK205" s="199"/>
      <c r="GUL205" s="199"/>
      <c r="GUM205" s="199"/>
      <c r="GUN205" s="199"/>
      <c r="GUO205" s="199"/>
      <c r="GUP205" s="199"/>
      <c r="GUQ205" s="199"/>
      <c r="GUR205" s="199"/>
      <c r="GUS205" s="199"/>
      <c r="GUT205" s="199"/>
      <c r="GUU205" s="199"/>
      <c r="GUV205" s="199"/>
      <c r="GUW205" s="199"/>
      <c r="GUX205" s="199"/>
      <c r="GUY205" s="199"/>
      <c r="GUZ205" s="199"/>
      <c r="GVA205" s="199"/>
      <c r="GVB205" s="199"/>
      <c r="GVC205" s="199"/>
      <c r="GVD205" s="199"/>
      <c r="GVE205" s="199"/>
      <c r="GVF205" s="199"/>
      <c r="GVG205" s="199"/>
      <c r="GVH205" s="199"/>
      <c r="GVI205" s="199"/>
      <c r="GVJ205" s="199"/>
      <c r="GVK205" s="199"/>
      <c r="GVL205" s="199"/>
      <c r="GVM205" s="199"/>
      <c r="GVN205" s="199"/>
      <c r="GVO205" s="199"/>
      <c r="GVP205" s="199"/>
      <c r="GVQ205" s="199"/>
      <c r="GVR205" s="199"/>
      <c r="GVS205" s="199"/>
      <c r="GVT205" s="199"/>
      <c r="GVU205" s="199"/>
      <c r="GVV205" s="199"/>
      <c r="GVW205" s="199"/>
      <c r="GVX205" s="199"/>
      <c r="GVY205" s="199"/>
      <c r="GVZ205" s="199"/>
      <c r="GWA205" s="199"/>
      <c r="GWB205" s="199"/>
      <c r="GWC205" s="199"/>
      <c r="GWD205" s="199"/>
      <c r="GWE205" s="199"/>
      <c r="GWF205" s="199"/>
      <c r="GWG205" s="199"/>
      <c r="GWH205" s="199"/>
      <c r="GWI205" s="199"/>
      <c r="GWJ205" s="199"/>
      <c r="GWK205" s="199"/>
      <c r="GWL205" s="199"/>
      <c r="GWM205" s="199"/>
      <c r="GWN205" s="199"/>
      <c r="GWO205" s="199"/>
      <c r="GWP205" s="199"/>
      <c r="GWQ205" s="199"/>
      <c r="GWR205" s="199"/>
      <c r="GWS205" s="199"/>
      <c r="GWT205" s="199"/>
      <c r="GWU205" s="199"/>
      <c r="GWV205" s="199"/>
      <c r="GWW205" s="199"/>
      <c r="GWX205" s="199"/>
      <c r="GWY205" s="199"/>
      <c r="GWZ205" s="199"/>
      <c r="GXA205" s="199"/>
      <c r="GXB205" s="199"/>
      <c r="GXC205" s="199"/>
      <c r="GXD205" s="199"/>
      <c r="GXE205" s="199"/>
      <c r="GXF205" s="199"/>
      <c r="GXG205" s="199"/>
      <c r="GXH205" s="199"/>
      <c r="GXI205" s="199"/>
      <c r="GXJ205" s="199"/>
      <c r="GXK205" s="199"/>
      <c r="GXL205" s="199"/>
      <c r="GXM205" s="199"/>
      <c r="GXN205" s="199"/>
      <c r="GXO205" s="199"/>
      <c r="GXP205" s="199"/>
      <c r="GXQ205" s="199"/>
      <c r="GXR205" s="199"/>
      <c r="GXS205" s="199"/>
      <c r="GXT205" s="199"/>
      <c r="GXU205" s="199"/>
      <c r="GXV205" s="199"/>
      <c r="GXW205" s="199"/>
      <c r="GXX205" s="199"/>
      <c r="GXY205" s="199"/>
      <c r="GXZ205" s="199"/>
      <c r="GYA205" s="199"/>
      <c r="GYB205" s="199"/>
      <c r="GYC205" s="199"/>
      <c r="GYD205" s="199"/>
      <c r="GYE205" s="199"/>
      <c r="GYF205" s="199"/>
      <c r="GYG205" s="199"/>
      <c r="GYH205" s="199"/>
      <c r="GYI205" s="199"/>
      <c r="GYJ205" s="199"/>
      <c r="GYK205" s="199"/>
      <c r="GYL205" s="199"/>
      <c r="GYM205" s="199"/>
      <c r="GYN205" s="199"/>
      <c r="GYO205" s="199"/>
      <c r="GYP205" s="199"/>
      <c r="GYQ205" s="199"/>
      <c r="GYR205" s="199"/>
      <c r="GYS205" s="199"/>
      <c r="GYT205" s="199"/>
      <c r="GYU205" s="199"/>
      <c r="GYV205" s="199"/>
      <c r="GYW205" s="199"/>
      <c r="GYX205" s="199"/>
      <c r="GYY205" s="199"/>
      <c r="GYZ205" s="199"/>
      <c r="GZA205" s="199"/>
      <c r="GZB205" s="199"/>
      <c r="GZC205" s="199"/>
      <c r="GZD205" s="199"/>
      <c r="GZE205" s="199"/>
      <c r="GZF205" s="199"/>
      <c r="GZG205" s="199"/>
      <c r="GZH205" s="199"/>
      <c r="GZI205" s="199"/>
      <c r="GZJ205" s="199"/>
      <c r="GZK205" s="199"/>
      <c r="GZL205" s="199"/>
      <c r="GZM205" s="199"/>
      <c r="GZN205" s="199"/>
      <c r="GZO205" s="199"/>
      <c r="GZP205" s="199"/>
      <c r="GZQ205" s="199"/>
      <c r="GZR205" s="199"/>
      <c r="GZS205" s="199"/>
      <c r="GZT205" s="199"/>
      <c r="GZU205" s="199"/>
      <c r="GZV205" s="199"/>
      <c r="GZW205" s="199"/>
      <c r="GZX205" s="199"/>
      <c r="GZY205" s="199"/>
      <c r="GZZ205" s="199"/>
      <c r="HAA205" s="199"/>
      <c r="HAB205" s="199"/>
      <c r="HAC205" s="199"/>
      <c r="HAD205" s="199"/>
      <c r="HAE205" s="199"/>
      <c r="HAF205" s="199"/>
      <c r="HAG205" s="199"/>
      <c r="HAH205" s="199"/>
      <c r="HAI205" s="199"/>
      <c r="HAJ205" s="199"/>
      <c r="HAK205" s="199"/>
      <c r="HAL205" s="199"/>
      <c r="HAM205" s="199"/>
      <c r="HAN205" s="199"/>
      <c r="HAO205" s="199"/>
      <c r="HAP205" s="199"/>
      <c r="HAQ205" s="199"/>
      <c r="HAR205" s="199"/>
      <c r="HAS205" s="199"/>
      <c r="HAT205" s="199"/>
      <c r="HAU205" s="199"/>
      <c r="HAV205" s="199"/>
      <c r="HAW205" s="199"/>
      <c r="HAX205" s="199"/>
      <c r="HAY205" s="199"/>
      <c r="HAZ205" s="199"/>
      <c r="HBA205" s="199"/>
      <c r="HBB205" s="199"/>
      <c r="HBC205" s="199"/>
      <c r="HBD205" s="199"/>
      <c r="HBE205" s="199"/>
      <c r="HBF205" s="199"/>
      <c r="HBG205" s="199"/>
      <c r="HBH205" s="199"/>
      <c r="HBI205" s="199"/>
      <c r="HBJ205" s="199"/>
      <c r="HBK205" s="199"/>
      <c r="HBL205" s="199"/>
      <c r="HBM205" s="199"/>
      <c r="HBN205" s="199"/>
      <c r="HBO205" s="199"/>
      <c r="HBP205" s="199"/>
      <c r="HBQ205" s="199"/>
      <c r="HBR205" s="199"/>
      <c r="HBS205" s="199"/>
      <c r="HBT205" s="199"/>
      <c r="HBU205" s="199"/>
      <c r="HBV205" s="199"/>
      <c r="HBW205" s="199"/>
      <c r="HBX205" s="199"/>
      <c r="HBY205" s="199"/>
      <c r="HBZ205" s="199"/>
      <c r="HCA205" s="199"/>
      <c r="HCB205" s="199"/>
      <c r="HCC205" s="199"/>
      <c r="HCD205" s="199"/>
      <c r="HCE205" s="199"/>
      <c r="HCF205" s="199"/>
      <c r="HCG205" s="199"/>
      <c r="HCH205" s="199"/>
      <c r="HCI205" s="199"/>
      <c r="HCJ205" s="199"/>
      <c r="HCK205" s="199"/>
      <c r="HCL205" s="199"/>
      <c r="HCM205" s="199"/>
      <c r="HCN205" s="199"/>
      <c r="HCO205" s="199"/>
      <c r="HCP205" s="199"/>
      <c r="HCQ205" s="199"/>
      <c r="HCR205" s="199"/>
      <c r="HCS205" s="199"/>
      <c r="HCT205" s="199"/>
      <c r="HCU205" s="199"/>
      <c r="HCV205" s="199"/>
      <c r="HCW205" s="199"/>
      <c r="HCX205" s="199"/>
      <c r="HCY205" s="199"/>
      <c r="HCZ205" s="199"/>
      <c r="HDA205" s="199"/>
      <c r="HDB205" s="199"/>
      <c r="HDC205" s="199"/>
      <c r="HDD205" s="199"/>
      <c r="HDE205" s="199"/>
      <c r="HDF205" s="199"/>
      <c r="HDG205" s="199"/>
      <c r="HDH205" s="199"/>
      <c r="HDI205" s="199"/>
      <c r="HDJ205" s="199"/>
      <c r="HDK205" s="199"/>
      <c r="HDL205" s="199"/>
      <c r="HDM205" s="199"/>
      <c r="HDN205" s="199"/>
      <c r="HDO205" s="199"/>
      <c r="HDP205" s="199"/>
      <c r="HDQ205" s="199"/>
      <c r="HDR205" s="199"/>
      <c r="HDS205" s="199"/>
      <c r="HDT205" s="199"/>
      <c r="HDU205" s="199"/>
      <c r="HDV205" s="199"/>
      <c r="HDW205" s="199"/>
      <c r="HDX205" s="199"/>
      <c r="HDY205" s="199"/>
      <c r="HDZ205" s="199"/>
      <c r="HEA205" s="199"/>
      <c r="HEB205" s="199"/>
      <c r="HEC205" s="199"/>
      <c r="HED205" s="199"/>
      <c r="HEE205" s="199"/>
      <c r="HEF205" s="199"/>
      <c r="HEG205" s="199"/>
      <c r="HEH205" s="199"/>
      <c r="HEI205" s="199"/>
      <c r="HEJ205" s="199"/>
      <c r="HEK205" s="199"/>
      <c r="HEL205" s="199"/>
      <c r="HEM205" s="199"/>
      <c r="HEN205" s="199"/>
      <c r="HEO205" s="199"/>
      <c r="HEP205" s="199"/>
      <c r="HEQ205" s="199"/>
      <c r="HER205" s="199"/>
      <c r="HES205" s="199"/>
      <c r="HET205" s="199"/>
      <c r="HEU205" s="199"/>
      <c r="HEV205" s="199"/>
      <c r="HEW205" s="199"/>
      <c r="HEX205" s="199"/>
      <c r="HEY205" s="199"/>
      <c r="HEZ205" s="199"/>
      <c r="HFA205" s="199"/>
      <c r="HFB205" s="199"/>
      <c r="HFC205" s="199"/>
      <c r="HFD205" s="199"/>
      <c r="HFE205" s="199"/>
      <c r="HFF205" s="199"/>
      <c r="HFG205" s="199"/>
      <c r="HFH205" s="199"/>
      <c r="HFI205" s="199"/>
      <c r="HFJ205" s="199"/>
      <c r="HFK205" s="199"/>
      <c r="HFL205" s="199"/>
      <c r="HFM205" s="199"/>
      <c r="HFN205" s="199"/>
      <c r="HFO205" s="199"/>
      <c r="HFP205" s="199"/>
      <c r="HFQ205" s="199"/>
      <c r="HFR205" s="199"/>
      <c r="HFS205" s="199"/>
      <c r="HFT205" s="199"/>
      <c r="HFU205" s="199"/>
      <c r="HFV205" s="199"/>
      <c r="HFW205" s="199"/>
      <c r="HFX205" s="199"/>
      <c r="HFY205" s="199"/>
      <c r="HFZ205" s="199"/>
      <c r="HGA205" s="199"/>
      <c r="HGB205" s="199"/>
      <c r="HGC205" s="199"/>
      <c r="HGD205" s="199"/>
      <c r="HGE205" s="199"/>
      <c r="HGF205" s="199"/>
      <c r="HGG205" s="199"/>
      <c r="HGH205" s="199"/>
      <c r="HGI205" s="199"/>
      <c r="HGJ205" s="199"/>
      <c r="HGK205" s="199"/>
      <c r="HGL205" s="199"/>
      <c r="HGM205" s="199"/>
      <c r="HGN205" s="199"/>
      <c r="HGO205" s="199"/>
      <c r="HGP205" s="199"/>
      <c r="HGQ205" s="199"/>
      <c r="HGR205" s="199"/>
      <c r="HGS205" s="199"/>
      <c r="HGT205" s="199"/>
      <c r="HGU205" s="199"/>
      <c r="HGV205" s="199"/>
      <c r="HGW205" s="199"/>
      <c r="HGX205" s="199"/>
      <c r="HGY205" s="199"/>
      <c r="HGZ205" s="199"/>
      <c r="HHA205" s="199"/>
      <c r="HHB205" s="199"/>
      <c r="HHC205" s="199"/>
      <c r="HHD205" s="199"/>
      <c r="HHE205" s="199"/>
      <c r="HHF205" s="199"/>
      <c r="HHG205" s="199"/>
      <c r="HHH205" s="199"/>
      <c r="HHI205" s="199"/>
      <c r="HHJ205" s="199"/>
      <c r="HHK205" s="199"/>
      <c r="HHL205" s="199"/>
      <c r="HHM205" s="199"/>
      <c r="HHN205" s="199"/>
      <c r="HHO205" s="199"/>
      <c r="HHP205" s="199"/>
      <c r="HHQ205" s="199"/>
      <c r="HHR205" s="199"/>
      <c r="HHS205" s="199"/>
      <c r="HHT205" s="199"/>
      <c r="HHU205" s="199"/>
      <c r="HHV205" s="199"/>
      <c r="HHW205" s="199"/>
      <c r="HHX205" s="199"/>
      <c r="HHY205" s="199"/>
      <c r="HHZ205" s="199"/>
      <c r="HIA205" s="199"/>
      <c r="HIB205" s="199"/>
      <c r="HIC205" s="199"/>
      <c r="HID205" s="199"/>
      <c r="HIE205" s="199"/>
      <c r="HIF205" s="199"/>
      <c r="HIG205" s="199"/>
      <c r="HIH205" s="199"/>
      <c r="HII205" s="199"/>
      <c r="HIJ205" s="199"/>
      <c r="HIK205" s="199"/>
      <c r="HIL205" s="199"/>
      <c r="HIM205" s="199"/>
      <c r="HIN205" s="199"/>
      <c r="HIO205" s="199"/>
      <c r="HIP205" s="199"/>
      <c r="HIQ205" s="199"/>
      <c r="HIR205" s="199"/>
      <c r="HIS205" s="199"/>
      <c r="HIT205" s="199"/>
      <c r="HIU205" s="199"/>
      <c r="HIV205" s="199"/>
      <c r="HIW205" s="199"/>
      <c r="HIX205" s="199"/>
      <c r="HIY205" s="199"/>
      <c r="HIZ205" s="199"/>
      <c r="HJA205" s="199"/>
      <c r="HJB205" s="199"/>
      <c r="HJC205" s="199"/>
      <c r="HJD205" s="199"/>
      <c r="HJE205" s="199"/>
      <c r="HJF205" s="199"/>
      <c r="HJG205" s="199"/>
      <c r="HJH205" s="199"/>
      <c r="HJI205" s="199"/>
      <c r="HJJ205" s="199"/>
      <c r="HJK205" s="199"/>
      <c r="HJL205" s="199"/>
      <c r="HJM205" s="199"/>
      <c r="HJN205" s="199"/>
      <c r="HJO205" s="199"/>
      <c r="HJP205" s="199"/>
      <c r="HJQ205" s="199"/>
      <c r="HJR205" s="199"/>
      <c r="HJS205" s="199"/>
      <c r="HJT205" s="199"/>
      <c r="HJU205" s="199"/>
      <c r="HJV205" s="199"/>
      <c r="HJW205" s="199"/>
      <c r="HJX205" s="199"/>
      <c r="HJY205" s="199"/>
      <c r="HJZ205" s="199"/>
      <c r="HKA205" s="199"/>
      <c r="HKB205" s="199"/>
      <c r="HKC205" s="199"/>
      <c r="HKD205" s="199"/>
      <c r="HKE205" s="199"/>
      <c r="HKF205" s="199"/>
      <c r="HKG205" s="199"/>
      <c r="HKH205" s="199"/>
      <c r="HKI205" s="199"/>
      <c r="HKJ205" s="199"/>
      <c r="HKK205" s="199"/>
      <c r="HKL205" s="199"/>
      <c r="HKM205" s="199"/>
      <c r="HKN205" s="199"/>
      <c r="HKO205" s="199"/>
      <c r="HKP205" s="199"/>
      <c r="HKQ205" s="199"/>
      <c r="HKR205" s="199"/>
      <c r="HKS205" s="199"/>
      <c r="HKT205" s="199"/>
      <c r="HKU205" s="199"/>
      <c r="HKV205" s="199"/>
      <c r="HKW205" s="199"/>
      <c r="HKX205" s="199"/>
      <c r="HKY205" s="199"/>
      <c r="HKZ205" s="199"/>
      <c r="HLA205" s="199"/>
      <c r="HLB205" s="199"/>
      <c r="HLC205" s="199"/>
      <c r="HLD205" s="199"/>
      <c r="HLE205" s="199"/>
      <c r="HLF205" s="199"/>
      <c r="HLG205" s="199"/>
      <c r="HLH205" s="199"/>
      <c r="HLI205" s="199"/>
      <c r="HLJ205" s="199"/>
      <c r="HLK205" s="199"/>
      <c r="HLL205" s="199"/>
      <c r="HLM205" s="199"/>
      <c r="HLN205" s="199"/>
      <c r="HLO205" s="199"/>
      <c r="HLP205" s="199"/>
      <c r="HLQ205" s="199"/>
      <c r="HLR205" s="199"/>
      <c r="HLS205" s="199"/>
      <c r="HLT205" s="199"/>
      <c r="HLU205" s="199"/>
      <c r="HLV205" s="199"/>
      <c r="HLW205" s="199"/>
      <c r="HLX205" s="199"/>
      <c r="HLY205" s="199"/>
      <c r="HLZ205" s="199"/>
      <c r="HMA205" s="199"/>
      <c r="HMB205" s="199"/>
      <c r="HMC205" s="199"/>
      <c r="HMD205" s="199"/>
      <c r="HME205" s="199"/>
      <c r="HMF205" s="199"/>
      <c r="HMG205" s="199"/>
      <c r="HMH205" s="199"/>
      <c r="HMI205" s="199"/>
      <c r="HMJ205" s="199"/>
      <c r="HMK205" s="199"/>
      <c r="HML205" s="199"/>
      <c r="HMM205" s="199"/>
      <c r="HMN205" s="199"/>
      <c r="HMO205" s="199"/>
      <c r="HMP205" s="199"/>
      <c r="HMQ205" s="199"/>
      <c r="HMR205" s="199"/>
      <c r="HMS205" s="199"/>
      <c r="HMT205" s="199"/>
      <c r="HMU205" s="199"/>
      <c r="HMV205" s="199"/>
      <c r="HMW205" s="199"/>
      <c r="HMX205" s="199"/>
      <c r="HMY205" s="199"/>
      <c r="HMZ205" s="199"/>
      <c r="HNA205" s="199"/>
      <c r="HNB205" s="199"/>
      <c r="HNC205" s="199"/>
      <c r="HND205" s="199"/>
      <c r="HNE205" s="199"/>
      <c r="HNF205" s="199"/>
      <c r="HNG205" s="199"/>
      <c r="HNH205" s="199"/>
      <c r="HNI205" s="199"/>
      <c r="HNJ205" s="199"/>
      <c r="HNK205" s="199"/>
      <c r="HNL205" s="199"/>
      <c r="HNM205" s="199"/>
      <c r="HNN205" s="199"/>
      <c r="HNO205" s="199"/>
      <c r="HNP205" s="199"/>
      <c r="HNQ205" s="199"/>
      <c r="HNR205" s="199"/>
      <c r="HNS205" s="199"/>
      <c r="HNT205" s="199"/>
      <c r="HNU205" s="199"/>
      <c r="HNV205" s="199"/>
      <c r="HNW205" s="199"/>
      <c r="HNX205" s="199"/>
      <c r="HNY205" s="199"/>
      <c r="HNZ205" s="199"/>
      <c r="HOA205" s="199"/>
      <c r="HOB205" s="199"/>
      <c r="HOC205" s="199"/>
      <c r="HOD205" s="199"/>
      <c r="HOE205" s="199"/>
      <c r="HOF205" s="199"/>
      <c r="HOG205" s="199"/>
      <c r="HOH205" s="199"/>
      <c r="HOI205" s="199"/>
      <c r="HOJ205" s="199"/>
      <c r="HOK205" s="199"/>
      <c r="HOL205" s="199"/>
      <c r="HOM205" s="199"/>
      <c r="HON205" s="199"/>
      <c r="HOO205" s="199"/>
      <c r="HOP205" s="199"/>
      <c r="HOQ205" s="199"/>
      <c r="HOR205" s="199"/>
      <c r="HOS205" s="199"/>
      <c r="HOT205" s="199"/>
      <c r="HOU205" s="199"/>
      <c r="HOV205" s="199"/>
      <c r="HOW205" s="199"/>
      <c r="HOX205" s="199"/>
      <c r="HOY205" s="199"/>
      <c r="HOZ205" s="199"/>
      <c r="HPA205" s="199"/>
      <c r="HPB205" s="199"/>
      <c r="HPC205" s="199"/>
      <c r="HPD205" s="199"/>
      <c r="HPE205" s="199"/>
      <c r="HPF205" s="199"/>
      <c r="HPG205" s="199"/>
      <c r="HPH205" s="199"/>
      <c r="HPI205" s="199"/>
      <c r="HPJ205" s="199"/>
      <c r="HPK205" s="199"/>
      <c r="HPL205" s="199"/>
      <c r="HPM205" s="199"/>
      <c r="HPN205" s="199"/>
      <c r="HPO205" s="199"/>
      <c r="HPP205" s="199"/>
      <c r="HPQ205" s="199"/>
      <c r="HPR205" s="199"/>
      <c r="HPS205" s="199"/>
      <c r="HPT205" s="199"/>
      <c r="HPU205" s="199"/>
      <c r="HPV205" s="199"/>
      <c r="HPW205" s="199"/>
      <c r="HPX205" s="199"/>
      <c r="HPY205" s="199"/>
      <c r="HPZ205" s="199"/>
      <c r="HQA205" s="199"/>
      <c r="HQB205" s="199"/>
      <c r="HQC205" s="199"/>
      <c r="HQD205" s="199"/>
      <c r="HQE205" s="199"/>
      <c r="HQF205" s="199"/>
      <c r="HQG205" s="199"/>
      <c r="HQH205" s="199"/>
      <c r="HQI205" s="199"/>
      <c r="HQJ205" s="199"/>
      <c r="HQK205" s="199"/>
      <c r="HQL205" s="199"/>
      <c r="HQM205" s="199"/>
      <c r="HQN205" s="199"/>
      <c r="HQO205" s="199"/>
      <c r="HQP205" s="199"/>
      <c r="HQQ205" s="199"/>
      <c r="HQR205" s="199"/>
      <c r="HQS205" s="199"/>
      <c r="HQT205" s="199"/>
      <c r="HQU205" s="199"/>
      <c r="HQV205" s="199"/>
      <c r="HQW205" s="199"/>
      <c r="HQX205" s="199"/>
      <c r="HQY205" s="199"/>
      <c r="HQZ205" s="199"/>
      <c r="HRA205" s="199"/>
      <c r="HRB205" s="199"/>
      <c r="HRC205" s="199"/>
      <c r="HRD205" s="199"/>
      <c r="HRE205" s="199"/>
      <c r="HRF205" s="199"/>
      <c r="HRG205" s="199"/>
      <c r="HRH205" s="199"/>
      <c r="HRI205" s="199"/>
      <c r="HRJ205" s="199"/>
      <c r="HRK205" s="199"/>
      <c r="HRL205" s="199"/>
      <c r="HRM205" s="199"/>
      <c r="HRN205" s="199"/>
      <c r="HRO205" s="199"/>
      <c r="HRP205" s="199"/>
      <c r="HRQ205" s="199"/>
      <c r="HRR205" s="199"/>
      <c r="HRS205" s="199"/>
      <c r="HRT205" s="199"/>
      <c r="HRU205" s="199"/>
      <c r="HRV205" s="199"/>
      <c r="HRW205" s="199"/>
      <c r="HRX205" s="199"/>
      <c r="HRY205" s="199"/>
      <c r="HRZ205" s="199"/>
      <c r="HSA205" s="199"/>
      <c r="HSB205" s="199"/>
      <c r="HSC205" s="199"/>
      <c r="HSD205" s="199"/>
      <c r="HSE205" s="199"/>
      <c r="HSF205" s="199"/>
      <c r="HSG205" s="199"/>
      <c r="HSH205" s="199"/>
      <c r="HSI205" s="199"/>
      <c r="HSJ205" s="199"/>
      <c r="HSK205" s="199"/>
      <c r="HSL205" s="199"/>
      <c r="HSM205" s="199"/>
      <c r="HSN205" s="199"/>
      <c r="HSO205" s="199"/>
      <c r="HSP205" s="199"/>
      <c r="HSQ205" s="199"/>
      <c r="HSR205" s="199"/>
      <c r="HSS205" s="199"/>
      <c r="HST205" s="199"/>
      <c r="HSU205" s="199"/>
      <c r="HSV205" s="199"/>
      <c r="HSW205" s="199"/>
      <c r="HSX205" s="199"/>
      <c r="HSY205" s="199"/>
      <c r="HSZ205" s="199"/>
      <c r="HTA205" s="199"/>
      <c r="HTB205" s="199"/>
      <c r="HTC205" s="199"/>
      <c r="HTD205" s="199"/>
      <c r="HTE205" s="199"/>
      <c r="HTF205" s="199"/>
      <c r="HTG205" s="199"/>
      <c r="HTH205" s="199"/>
      <c r="HTI205" s="199"/>
      <c r="HTJ205" s="199"/>
      <c r="HTK205" s="199"/>
      <c r="HTL205" s="199"/>
      <c r="HTM205" s="199"/>
      <c r="HTN205" s="199"/>
      <c r="HTO205" s="199"/>
      <c r="HTP205" s="199"/>
      <c r="HTQ205" s="199"/>
      <c r="HTR205" s="199"/>
      <c r="HTS205" s="199"/>
      <c r="HTT205" s="199"/>
      <c r="HTU205" s="199"/>
      <c r="HTV205" s="199"/>
      <c r="HTW205" s="199"/>
      <c r="HTX205" s="199"/>
      <c r="HTY205" s="199"/>
      <c r="HTZ205" s="199"/>
      <c r="HUA205" s="199"/>
      <c r="HUB205" s="199"/>
      <c r="HUC205" s="199"/>
      <c r="HUD205" s="199"/>
      <c r="HUE205" s="199"/>
      <c r="HUF205" s="199"/>
      <c r="HUG205" s="199"/>
      <c r="HUH205" s="199"/>
      <c r="HUI205" s="199"/>
      <c r="HUJ205" s="199"/>
      <c r="HUK205" s="199"/>
      <c r="HUL205" s="199"/>
      <c r="HUM205" s="199"/>
      <c r="HUN205" s="199"/>
      <c r="HUO205" s="199"/>
      <c r="HUP205" s="199"/>
      <c r="HUQ205" s="199"/>
      <c r="HUR205" s="199"/>
      <c r="HUS205" s="199"/>
      <c r="HUT205" s="199"/>
      <c r="HUU205" s="199"/>
      <c r="HUV205" s="199"/>
      <c r="HUW205" s="199"/>
      <c r="HUX205" s="199"/>
      <c r="HUY205" s="199"/>
      <c r="HUZ205" s="199"/>
      <c r="HVA205" s="199"/>
      <c r="HVB205" s="199"/>
      <c r="HVC205" s="199"/>
      <c r="HVD205" s="199"/>
      <c r="HVE205" s="199"/>
      <c r="HVF205" s="199"/>
      <c r="HVG205" s="199"/>
      <c r="HVH205" s="199"/>
      <c r="HVI205" s="199"/>
      <c r="HVJ205" s="199"/>
      <c r="HVK205" s="199"/>
      <c r="HVL205" s="199"/>
      <c r="HVM205" s="199"/>
      <c r="HVN205" s="199"/>
      <c r="HVO205" s="199"/>
      <c r="HVP205" s="199"/>
      <c r="HVQ205" s="199"/>
      <c r="HVR205" s="199"/>
      <c r="HVS205" s="199"/>
      <c r="HVT205" s="199"/>
      <c r="HVU205" s="199"/>
      <c r="HVV205" s="199"/>
      <c r="HVW205" s="199"/>
      <c r="HVX205" s="199"/>
      <c r="HVY205" s="199"/>
      <c r="HVZ205" s="199"/>
      <c r="HWA205" s="199"/>
      <c r="HWB205" s="199"/>
      <c r="HWC205" s="199"/>
      <c r="HWD205" s="199"/>
      <c r="HWE205" s="199"/>
      <c r="HWF205" s="199"/>
      <c r="HWG205" s="199"/>
      <c r="HWH205" s="199"/>
      <c r="HWI205" s="199"/>
      <c r="HWJ205" s="199"/>
      <c r="HWK205" s="199"/>
      <c r="HWL205" s="199"/>
      <c r="HWM205" s="199"/>
      <c r="HWN205" s="199"/>
      <c r="HWO205" s="199"/>
      <c r="HWP205" s="199"/>
      <c r="HWQ205" s="199"/>
      <c r="HWR205" s="199"/>
      <c r="HWS205" s="199"/>
      <c r="HWT205" s="199"/>
      <c r="HWU205" s="199"/>
      <c r="HWV205" s="199"/>
      <c r="HWW205" s="199"/>
      <c r="HWX205" s="199"/>
      <c r="HWY205" s="199"/>
      <c r="HWZ205" s="199"/>
      <c r="HXA205" s="199"/>
      <c r="HXB205" s="199"/>
      <c r="HXC205" s="199"/>
      <c r="HXD205" s="199"/>
      <c r="HXE205" s="199"/>
      <c r="HXF205" s="199"/>
      <c r="HXG205" s="199"/>
      <c r="HXH205" s="199"/>
      <c r="HXI205" s="199"/>
      <c r="HXJ205" s="199"/>
      <c r="HXK205" s="199"/>
      <c r="HXL205" s="199"/>
      <c r="HXM205" s="199"/>
      <c r="HXN205" s="199"/>
      <c r="HXO205" s="199"/>
      <c r="HXP205" s="199"/>
      <c r="HXQ205" s="199"/>
      <c r="HXR205" s="199"/>
      <c r="HXS205" s="199"/>
      <c r="HXT205" s="199"/>
      <c r="HXU205" s="199"/>
      <c r="HXV205" s="199"/>
      <c r="HXW205" s="199"/>
      <c r="HXX205" s="199"/>
      <c r="HXY205" s="199"/>
      <c r="HXZ205" s="199"/>
      <c r="HYA205" s="199"/>
      <c r="HYB205" s="199"/>
      <c r="HYC205" s="199"/>
      <c r="HYD205" s="199"/>
      <c r="HYE205" s="199"/>
      <c r="HYF205" s="199"/>
      <c r="HYG205" s="199"/>
      <c r="HYH205" s="199"/>
      <c r="HYI205" s="199"/>
      <c r="HYJ205" s="199"/>
      <c r="HYK205" s="199"/>
      <c r="HYL205" s="199"/>
      <c r="HYM205" s="199"/>
      <c r="HYN205" s="199"/>
      <c r="HYO205" s="199"/>
      <c r="HYP205" s="199"/>
      <c r="HYQ205" s="199"/>
      <c r="HYR205" s="199"/>
      <c r="HYS205" s="199"/>
      <c r="HYT205" s="199"/>
      <c r="HYU205" s="199"/>
      <c r="HYV205" s="199"/>
      <c r="HYW205" s="199"/>
      <c r="HYX205" s="199"/>
      <c r="HYY205" s="199"/>
      <c r="HYZ205" s="199"/>
      <c r="HZA205" s="199"/>
      <c r="HZB205" s="199"/>
      <c r="HZC205" s="199"/>
      <c r="HZD205" s="199"/>
      <c r="HZE205" s="199"/>
      <c r="HZF205" s="199"/>
      <c r="HZG205" s="199"/>
      <c r="HZH205" s="199"/>
      <c r="HZI205" s="199"/>
      <c r="HZJ205" s="199"/>
      <c r="HZK205" s="199"/>
      <c r="HZL205" s="199"/>
      <c r="HZM205" s="199"/>
      <c r="HZN205" s="199"/>
      <c r="HZO205" s="199"/>
      <c r="HZP205" s="199"/>
      <c r="HZQ205" s="199"/>
      <c r="HZR205" s="199"/>
      <c r="HZS205" s="199"/>
      <c r="HZT205" s="199"/>
      <c r="HZU205" s="199"/>
      <c r="HZV205" s="199"/>
      <c r="HZW205" s="199"/>
      <c r="HZX205" s="199"/>
      <c r="HZY205" s="199"/>
      <c r="HZZ205" s="199"/>
      <c r="IAA205" s="199"/>
      <c r="IAB205" s="199"/>
      <c r="IAC205" s="199"/>
      <c r="IAD205" s="199"/>
      <c r="IAE205" s="199"/>
      <c r="IAF205" s="199"/>
      <c r="IAG205" s="199"/>
      <c r="IAH205" s="199"/>
      <c r="IAI205" s="199"/>
      <c r="IAJ205" s="199"/>
      <c r="IAK205" s="199"/>
      <c r="IAL205" s="199"/>
      <c r="IAM205" s="199"/>
      <c r="IAN205" s="199"/>
      <c r="IAO205" s="199"/>
      <c r="IAP205" s="199"/>
      <c r="IAQ205" s="199"/>
      <c r="IAR205" s="199"/>
      <c r="IAS205" s="199"/>
      <c r="IAT205" s="199"/>
      <c r="IAU205" s="199"/>
      <c r="IAV205" s="199"/>
      <c r="IAW205" s="199"/>
      <c r="IAX205" s="199"/>
      <c r="IAY205" s="199"/>
      <c r="IAZ205" s="199"/>
      <c r="IBA205" s="199"/>
      <c r="IBB205" s="199"/>
      <c r="IBC205" s="199"/>
      <c r="IBD205" s="199"/>
      <c r="IBE205" s="199"/>
      <c r="IBF205" s="199"/>
      <c r="IBG205" s="199"/>
      <c r="IBH205" s="199"/>
      <c r="IBI205" s="199"/>
      <c r="IBJ205" s="199"/>
      <c r="IBK205" s="199"/>
      <c r="IBL205" s="199"/>
      <c r="IBM205" s="199"/>
      <c r="IBN205" s="199"/>
      <c r="IBO205" s="199"/>
      <c r="IBP205" s="199"/>
      <c r="IBQ205" s="199"/>
      <c r="IBR205" s="199"/>
      <c r="IBS205" s="199"/>
      <c r="IBT205" s="199"/>
      <c r="IBU205" s="199"/>
      <c r="IBV205" s="199"/>
      <c r="IBW205" s="199"/>
      <c r="IBX205" s="199"/>
      <c r="IBY205" s="199"/>
      <c r="IBZ205" s="199"/>
      <c r="ICA205" s="199"/>
      <c r="ICB205" s="199"/>
      <c r="ICC205" s="199"/>
      <c r="ICD205" s="199"/>
      <c r="ICE205" s="199"/>
      <c r="ICF205" s="199"/>
      <c r="ICG205" s="199"/>
      <c r="ICH205" s="199"/>
      <c r="ICI205" s="199"/>
      <c r="ICJ205" s="199"/>
      <c r="ICK205" s="199"/>
      <c r="ICL205" s="199"/>
      <c r="ICM205" s="199"/>
      <c r="ICN205" s="199"/>
      <c r="ICO205" s="199"/>
      <c r="ICP205" s="199"/>
      <c r="ICQ205" s="199"/>
      <c r="ICR205" s="199"/>
      <c r="ICS205" s="199"/>
      <c r="ICT205" s="199"/>
      <c r="ICU205" s="199"/>
      <c r="ICV205" s="199"/>
      <c r="ICW205" s="199"/>
      <c r="ICX205" s="199"/>
      <c r="ICY205" s="199"/>
      <c r="ICZ205" s="199"/>
      <c r="IDA205" s="199"/>
      <c r="IDB205" s="199"/>
      <c r="IDC205" s="199"/>
      <c r="IDD205" s="199"/>
      <c r="IDE205" s="199"/>
      <c r="IDF205" s="199"/>
      <c r="IDG205" s="199"/>
      <c r="IDH205" s="199"/>
      <c r="IDI205" s="199"/>
      <c r="IDJ205" s="199"/>
      <c r="IDK205" s="199"/>
      <c r="IDL205" s="199"/>
      <c r="IDM205" s="199"/>
      <c r="IDN205" s="199"/>
      <c r="IDO205" s="199"/>
      <c r="IDP205" s="199"/>
      <c r="IDQ205" s="199"/>
      <c r="IDR205" s="199"/>
      <c r="IDS205" s="199"/>
      <c r="IDT205" s="199"/>
      <c r="IDU205" s="199"/>
      <c r="IDV205" s="199"/>
      <c r="IDW205" s="199"/>
      <c r="IDX205" s="199"/>
      <c r="IDY205" s="199"/>
      <c r="IDZ205" s="199"/>
      <c r="IEA205" s="199"/>
      <c r="IEB205" s="199"/>
      <c r="IEC205" s="199"/>
      <c r="IED205" s="199"/>
      <c r="IEE205" s="199"/>
      <c r="IEF205" s="199"/>
      <c r="IEG205" s="199"/>
      <c r="IEH205" s="199"/>
      <c r="IEI205" s="199"/>
      <c r="IEJ205" s="199"/>
      <c r="IEK205" s="199"/>
      <c r="IEL205" s="199"/>
      <c r="IEM205" s="199"/>
      <c r="IEN205" s="199"/>
      <c r="IEO205" s="199"/>
      <c r="IEP205" s="199"/>
      <c r="IEQ205" s="199"/>
      <c r="IER205" s="199"/>
      <c r="IES205" s="199"/>
      <c r="IET205" s="199"/>
      <c r="IEU205" s="199"/>
      <c r="IEV205" s="199"/>
      <c r="IEW205" s="199"/>
      <c r="IEX205" s="199"/>
      <c r="IEY205" s="199"/>
      <c r="IEZ205" s="199"/>
      <c r="IFA205" s="199"/>
      <c r="IFB205" s="199"/>
      <c r="IFC205" s="199"/>
      <c r="IFD205" s="199"/>
      <c r="IFE205" s="199"/>
      <c r="IFF205" s="199"/>
      <c r="IFG205" s="199"/>
      <c r="IFH205" s="199"/>
      <c r="IFI205" s="199"/>
      <c r="IFJ205" s="199"/>
      <c r="IFK205" s="199"/>
      <c r="IFL205" s="199"/>
      <c r="IFM205" s="199"/>
      <c r="IFN205" s="199"/>
      <c r="IFO205" s="199"/>
      <c r="IFP205" s="199"/>
      <c r="IFQ205" s="199"/>
      <c r="IFR205" s="199"/>
      <c r="IFS205" s="199"/>
      <c r="IFT205" s="199"/>
      <c r="IFU205" s="199"/>
      <c r="IFV205" s="199"/>
      <c r="IFW205" s="199"/>
      <c r="IFX205" s="199"/>
      <c r="IFY205" s="199"/>
      <c r="IFZ205" s="199"/>
      <c r="IGA205" s="199"/>
      <c r="IGB205" s="199"/>
      <c r="IGC205" s="199"/>
      <c r="IGD205" s="199"/>
      <c r="IGE205" s="199"/>
      <c r="IGF205" s="199"/>
      <c r="IGG205" s="199"/>
      <c r="IGH205" s="199"/>
      <c r="IGI205" s="199"/>
      <c r="IGJ205" s="199"/>
      <c r="IGK205" s="199"/>
      <c r="IGL205" s="199"/>
      <c r="IGM205" s="199"/>
      <c r="IGN205" s="199"/>
      <c r="IGO205" s="199"/>
      <c r="IGP205" s="199"/>
      <c r="IGQ205" s="199"/>
      <c r="IGR205" s="199"/>
      <c r="IGS205" s="199"/>
      <c r="IGT205" s="199"/>
      <c r="IGU205" s="199"/>
      <c r="IGV205" s="199"/>
      <c r="IGW205" s="199"/>
      <c r="IGX205" s="199"/>
      <c r="IGY205" s="199"/>
      <c r="IGZ205" s="199"/>
      <c r="IHA205" s="199"/>
      <c r="IHB205" s="199"/>
      <c r="IHC205" s="199"/>
      <c r="IHD205" s="199"/>
      <c r="IHE205" s="199"/>
      <c r="IHF205" s="199"/>
      <c r="IHG205" s="199"/>
      <c r="IHH205" s="199"/>
      <c r="IHI205" s="199"/>
      <c r="IHJ205" s="199"/>
      <c r="IHK205" s="199"/>
      <c r="IHL205" s="199"/>
      <c r="IHM205" s="199"/>
      <c r="IHN205" s="199"/>
      <c r="IHO205" s="199"/>
      <c r="IHP205" s="199"/>
      <c r="IHQ205" s="199"/>
      <c r="IHR205" s="199"/>
      <c r="IHS205" s="199"/>
      <c r="IHT205" s="199"/>
      <c r="IHU205" s="199"/>
      <c r="IHV205" s="199"/>
      <c r="IHW205" s="199"/>
      <c r="IHX205" s="199"/>
      <c r="IHY205" s="199"/>
      <c r="IHZ205" s="199"/>
      <c r="IIA205" s="199"/>
      <c r="IIB205" s="199"/>
      <c r="IIC205" s="199"/>
      <c r="IID205" s="199"/>
      <c r="IIE205" s="199"/>
      <c r="IIF205" s="199"/>
      <c r="IIG205" s="199"/>
      <c r="IIH205" s="199"/>
      <c r="III205" s="199"/>
      <c r="IIJ205" s="199"/>
      <c r="IIK205" s="199"/>
      <c r="IIL205" s="199"/>
      <c r="IIM205" s="199"/>
      <c r="IIN205" s="199"/>
      <c r="IIO205" s="199"/>
      <c r="IIP205" s="199"/>
      <c r="IIQ205" s="199"/>
      <c r="IIR205" s="199"/>
      <c r="IIS205" s="199"/>
      <c r="IIT205" s="199"/>
      <c r="IIU205" s="199"/>
      <c r="IIV205" s="199"/>
      <c r="IIW205" s="199"/>
      <c r="IIX205" s="199"/>
      <c r="IIY205" s="199"/>
      <c r="IIZ205" s="199"/>
      <c r="IJA205" s="199"/>
      <c r="IJB205" s="199"/>
      <c r="IJC205" s="199"/>
      <c r="IJD205" s="199"/>
      <c r="IJE205" s="199"/>
      <c r="IJF205" s="199"/>
      <c r="IJG205" s="199"/>
      <c r="IJH205" s="199"/>
      <c r="IJI205" s="199"/>
      <c r="IJJ205" s="199"/>
      <c r="IJK205" s="199"/>
      <c r="IJL205" s="199"/>
      <c r="IJM205" s="199"/>
      <c r="IJN205" s="199"/>
      <c r="IJO205" s="199"/>
      <c r="IJP205" s="199"/>
      <c r="IJQ205" s="199"/>
      <c r="IJR205" s="199"/>
      <c r="IJS205" s="199"/>
      <c r="IJT205" s="199"/>
      <c r="IJU205" s="199"/>
      <c r="IJV205" s="199"/>
      <c r="IJW205" s="199"/>
      <c r="IJX205" s="199"/>
      <c r="IJY205" s="199"/>
      <c r="IJZ205" s="199"/>
      <c r="IKA205" s="199"/>
      <c r="IKB205" s="199"/>
      <c r="IKC205" s="199"/>
      <c r="IKD205" s="199"/>
      <c r="IKE205" s="199"/>
      <c r="IKF205" s="199"/>
      <c r="IKG205" s="199"/>
      <c r="IKH205" s="199"/>
      <c r="IKI205" s="199"/>
      <c r="IKJ205" s="199"/>
      <c r="IKK205" s="199"/>
      <c r="IKL205" s="199"/>
      <c r="IKM205" s="199"/>
      <c r="IKN205" s="199"/>
      <c r="IKO205" s="199"/>
      <c r="IKP205" s="199"/>
      <c r="IKQ205" s="199"/>
      <c r="IKR205" s="199"/>
      <c r="IKS205" s="199"/>
      <c r="IKT205" s="199"/>
      <c r="IKU205" s="199"/>
      <c r="IKV205" s="199"/>
      <c r="IKW205" s="199"/>
      <c r="IKX205" s="199"/>
      <c r="IKY205" s="199"/>
      <c r="IKZ205" s="199"/>
      <c r="ILA205" s="199"/>
      <c r="ILB205" s="199"/>
      <c r="ILC205" s="199"/>
      <c r="ILD205" s="199"/>
      <c r="ILE205" s="199"/>
      <c r="ILF205" s="199"/>
      <c r="ILG205" s="199"/>
      <c r="ILH205" s="199"/>
      <c r="ILI205" s="199"/>
      <c r="ILJ205" s="199"/>
      <c r="ILK205" s="199"/>
      <c r="ILL205" s="199"/>
      <c r="ILM205" s="199"/>
      <c r="ILN205" s="199"/>
      <c r="ILO205" s="199"/>
      <c r="ILP205" s="199"/>
      <c r="ILQ205" s="199"/>
      <c r="ILR205" s="199"/>
      <c r="ILS205" s="199"/>
      <c r="ILT205" s="199"/>
      <c r="ILU205" s="199"/>
      <c r="ILV205" s="199"/>
      <c r="ILW205" s="199"/>
      <c r="ILX205" s="199"/>
      <c r="ILY205" s="199"/>
      <c r="ILZ205" s="199"/>
      <c r="IMA205" s="199"/>
      <c r="IMB205" s="199"/>
      <c r="IMC205" s="199"/>
      <c r="IMD205" s="199"/>
      <c r="IME205" s="199"/>
      <c r="IMF205" s="199"/>
      <c r="IMG205" s="199"/>
      <c r="IMH205" s="199"/>
      <c r="IMI205" s="199"/>
      <c r="IMJ205" s="199"/>
      <c r="IMK205" s="199"/>
      <c r="IML205" s="199"/>
      <c r="IMM205" s="199"/>
      <c r="IMN205" s="199"/>
      <c r="IMO205" s="199"/>
      <c r="IMP205" s="199"/>
      <c r="IMQ205" s="199"/>
      <c r="IMR205" s="199"/>
      <c r="IMS205" s="199"/>
      <c r="IMT205" s="199"/>
      <c r="IMU205" s="199"/>
      <c r="IMV205" s="199"/>
      <c r="IMW205" s="199"/>
      <c r="IMX205" s="199"/>
      <c r="IMY205" s="199"/>
      <c r="IMZ205" s="199"/>
      <c r="INA205" s="199"/>
      <c r="INB205" s="199"/>
      <c r="INC205" s="199"/>
      <c r="IND205" s="199"/>
      <c r="INE205" s="199"/>
      <c r="INF205" s="199"/>
      <c r="ING205" s="199"/>
      <c r="INH205" s="199"/>
      <c r="INI205" s="199"/>
      <c r="INJ205" s="199"/>
      <c r="INK205" s="199"/>
      <c r="INL205" s="199"/>
      <c r="INM205" s="199"/>
      <c r="INN205" s="199"/>
      <c r="INO205" s="199"/>
      <c r="INP205" s="199"/>
      <c r="INQ205" s="199"/>
      <c r="INR205" s="199"/>
      <c r="INS205" s="199"/>
      <c r="INT205" s="199"/>
      <c r="INU205" s="199"/>
      <c r="INV205" s="199"/>
      <c r="INW205" s="199"/>
      <c r="INX205" s="199"/>
      <c r="INY205" s="199"/>
      <c r="INZ205" s="199"/>
      <c r="IOA205" s="199"/>
      <c r="IOB205" s="199"/>
      <c r="IOC205" s="199"/>
      <c r="IOD205" s="199"/>
      <c r="IOE205" s="199"/>
      <c r="IOF205" s="199"/>
      <c r="IOG205" s="199"/>
      <c r="IOH205" s="199"/>
      <c r="IOI205" s="199"/>
      <c r="IOJ205" s="199"/>
      <c r="IOK205" s="199"/>
      <c r="IOL205" s="199"/>
      <c r="IOM205" s="199"/>
      <c r="ION205" s="199"/>
      <c r="IOO205" s="199"/>
      <c r="IOP205" s="199"/>
      <c r="IOQ205" s="199"/>
      <c r="IOR205" s="199"/>
      <c r="IOS205" s="199"/>
      <c r="IOT205" s="199"/>
      <c r="IOU205" s="199"/>
      <c r="IOV205" s="199"/>
      <c r="IOW205" s="199"/>
      <c r="IOX205" s="199"/>
      <c r="IOY205" s="199"/>
      <c r="IOZ205" s="199"/>
      <c r="IPA205" s="199"/>
      <c r="IPB205" s="199"/>
      <c r="IPC205" s="199"/>
      <c r="IPD205" s="199"/>
      <c r="IPE205" s="199"/>
      <c r="IPF205" s="199"/>
      <c r="IPG205" s="199"/>
      <c r="IPH205" s="199"/>
      <c r="IPI205" s="199"/>
      <c r="IPJ205" s="199"/>
      <c r="IPK205" s="199"/>
      <c r="IPL205" s="199"/>
      <c r="IPM205" s="199"/>
      <c r="IPN205" s="199"/>
      <c r="IPO205" s="199"/>
      <c r="IPP205" s="199"/>
      <c r="IPQ205" s="199"/>
      <c r="IPR205" s="199"/>
      <c r="IPS205" s="199"/>
      <c r="IPT205" s="199"/>
      <c r="IPU205" s="199"/>
      <c r="IPV205" s="199"/>
      <c r="IPW205" s="199"/>
      <c r="IPX205" s="199"/>
      <c r="IPY205" s="199"/>
      <c r="IPZ205" s="199"/>
      <c r="IQA205" s="199"/>
      <c r="IQB205" s="199"/>
      <c r="IQC205" s="199"/>
      <c r="IQD205" s="199"/>
      <c r="IQE205" s="199"/>
      <c r="IQF205" s="199"/>
      <c r="IQG205" s="199"/>
      <c r="IQH205" s="199"/>
      <c r="IQI205" s="199"/>
      <c r="IQJ205" s="199"/>
      <c r="IQK205" s="199"/>
      <c r="IQL205" s="199"/>
      <c r="IQM205" s="199"/>
      <c r="IQN205" s="199"/>
      <c r="IQO205" s="199"/>
      <c r="IQP205" s="199"/>
      <c r="IQQ205" s="199"/>
      <c r="IQR205" s="199"/>
      <c r="IQS205" s="199"/>
      <c r="IQT205" s="199"/>
      <c r="IQU205" s="199"/>
      <c r="IQV205" s="199"/>
      <c r="IQW205" s="199"/>
      <c r="IQX205" s="199"/>
      <c r="IQY205" s="199"/>
      <c r="IQZ205" s="199"/>
      <c r="IRA205" s="199"/>
      <c r="IRB205" s="199"/>
      <c r="IRC205" s="199"/>
      <c r="IRD205" s="199"/>
      <c r="IRE205" s="199"/>
      <c r="IRF205" s="199"/>
      <c r="IRG205" s="199"/>
      <c r="IRH205" s="199"/>
      <c r="IRI205" s="199"/>
      <c r="IRJ205" s="199"/>
      <c r="IRK205" s="199"/>
      <c r="IRL205" s="199"/>
      <c r="IRM205" s="199"/>
      <c r="IRN205" s="199"/>
      <c r="IRO205" s="199"/>
      <c r="IRP205" s="199"/>
      <c r="IRQ205" s="199"/>
      <c r="IRR205" s="199"/>
      <c r="IRS205" s="199"/>
      <c r="IRT205" s="199"/>
      <c r="IRU205" s="199"/>
      <c r="IRV205" s="199"/>
      <c r="IRW205" s="199"/>
      <c r="IRX205" s="199"/>
      <c r="IRY205" s="199"/>
      <c r="IRZ205" s="199"/>
      <c r="ISA205" s="199"/>
      <c r="ISB205" s="199"/>
      <c r="ISC205" s="199"/>
      <c r="ISD205" s="199"/>
      <c r="ISE205" s="199"/>
      <c r="ISF205" s="199"/>
      <c r="ISG205" s="199"/>
      <c r="ISH205" s="199"/>
      <c r="ISI205" s="199"/>
      <c r="ISJ205" s="199"/>
      <c r="ISK205" s="199"/>
      <c r="ISL205" s="199"/>
      <c r="ISM205" s="199"/>
      <c r="ISN205" s="199"/>
      <c r="ISO205" s="199"/>
      <c r="ISP205" s="199"/>
      <c r="ISQ205" s="199"/>
      <c r="ISR205" s="199"/>
      <c r="ISS205" s="199"/>
      <c r="IST205" s="199"/>
      <c r="ISU205" s="199"/>
      <c r="ISV205" s="199"/>
      <c r="ISW205" s="199"/>
      <c r="ISX205" s="199"/>
      <c r="ISY205" s="199"/>
      <c r="ISZ205" s="199"/>
      <c r="ITA205" s="199"/>
      <c r="ITB205" s="199"/>
      <c r="ITC205" s="199"/>
      <c r="ITD205" s="199"/>
      <c r="ITE205" s="199"/>
      <c r="ITF205" s="199"/>
      <c r="ITG205" s="199"/>
      <c r="ITH205" s="199"/>
      <c r="ITI205" s="199"/>
      <c r="ITJ205" s="199"/>
      <c r="ITK205" s="199"/>
      <c r="ITL205" s="199"/>
      <c r="ITM205" s="199"/>
      <c r="ITN205" s="199"/>
      <c r="ITO205" s="199"/>
      <c r="ITP205" s="199"/>
      <c r="ITQ205" s="199"/>
      <c r="ITR205" s="199"/>
      <c r="ITS205" s="199"/>
      <c r="ITT205" s="199"/>
      <c r="ITU205" s="199"/>
      <c r="ITV205" s="199"/>
      <c r="ITW205" s="199"/>
      <c r="ITX205" s="199"/>
      <c r="ITY205" s="199"/>
      <c r="ITZ205" s="199"/>
      <c r="IUA205" s="199"/>
      <c r="IUB205" s="199"/>
      <c r="IUC205" s="199"/>
      <c r="IUD205" s="199"/>
      <c r="IUE205" s="199"/>
      <c r="IUF205" s="199"/>
      <c r="IUG205" s="199"/>
      <c r="IUH205" s="199"/>
      <c r="IUI205" s="199"/>
      <c r="IUJ205" s="199"/>
      <c r="IUK205" s="199"/>
      <c r="IUL205" s="199"/>
      <c r="IUM205" s="199"/>
      <c r="IUN205" s="199"/>
      <c r="IUO205" s="199"/>
      <c r="IUP205" s="199"/>
      <c r="IUQ205" s="199"/>
      <c r="IUR205" s="199"/>
      <c r="IUS205" s="199"/>
      <c r="IUT205" s="199"/>
      <c r="IUU205" s="199"/>
      <c r="IUV205" s="199"/>
      <c r="IUW205" s="199"/>
      <c r="IUX205" s="199"/>
      <c r="IUY205" s="199"/>
      <c r="IUZ205" s="199"/>
      <c r="IVA205" s="199"/>
      <c r="IVB205" s="199"/>
      <c r="IVC205" s="199"/>
      <c r="IVD205" s="199"/>
      <c r="IVE205" s="199"/>
      <c r="IVF205" s="199"/>
      <c r="IVG205" s="199"/>
      <c r="IVH205" s="199"/>
      <c r="IVI205" s="199"/>
      <c r="IVJ205" s="199"/>
      <c r="IVK205" s="199"/>
      <c r="IVL205" s="199"/>
      <c r="IVM205" s="199"/>
      <c r="IVN205" s="199"/>
      <c r="IVO205" s="199"/>
      <c r="IVP205" s="199"/>
      <c r="IVQ205" s="199"/>
      <c r="IVR205" s="199"/>
      <c r="IVS205" s="199"/>
      <c r="IVT205" s="199"/>
      <c r="IVU205" s="199"/>
      <c r="IVV205" s="199"/>
      <c r="IVW205" s="199"/>
      <c r="IVX205" s="199"/>
      <c r="IVY205" s="199"/>
      <c r="IVZ205" s="199"/>
      <c r="IWA205" s="199"/>
      <c r="IWB205" s="199"/>
      <c r="IWC205" s="199"/>
      <c r="IWD205" s="199"/>
      <c r="IWE205" s="199"/>
      <c r="IWF205" s="199"/>
      <c r="IWG205" s="199"/>
      <c r="IWH205" s="199"/>
      <c r="IWI205" s="199"/>
      <c r="IWJ205" s="199"/>
      <c r="IWK205" s="199"/>
      <c r="IWL205" s="199"/>
      <c r="IWM205" s="199"/>
      <c r="IWN205" s="199"/>
      <c r="IWO205" s="199"/>
      <c r="IWP205" s="199"/>
      <c r="IWQ205" s="199"/>
      <c r="IWR205" s="199"/>
      <c r="IWS205" s="199"/>
      <c r="IWT205" s="199"/>
      <c r="IWU205" s="199"/>
      <c r="IWV205" s="199"/>
      <c r="IWW205" s="199"/>
      <c r="IWX205" s="199"/>
      <c r="IWY205" s="199"/>
      <c r="IWZ205" s="199"/>
      <c r="IXA205" s="199"/>
      <c r="IXB205" s="199"/>
      <c r="IXC205" s="199"/>
      <c r="IXD205" s="199"/>
      <c r="IXE205" s="199"/>
      <c r="IXF205" s="199"/>
      <c r="IXG205" s="199"/>
      <c r="IXH205" s="199"/>
      <c r="IXI205" s="199"/>
      <c r="IXJ205" s="199"/>
      <c r="IXK205" s="199"/>
      <c r="IXL205" s="199"/>
      <c r="IXM205" s="199"/>
      <c r="IXN205" s="199"/>
      <c r="IXO205" s="199"/>
      <c r="IXP205" s="199"/>
      <c r="IXQ205" s="199"/>
      <c r="IXR205" s="199"/>
      <c r="IXS205" s="199"/>
      <c r="IXT205" s="199"/>
      <c r="IXU205" s="199"/>
      <c r="IXV205" s="199"/>
      <c r="IXW205" s="199"/>
      <c r="IXX205" s="199"/>
      <c r="IXY205" s="199"/>
      <c r="IXZ205" s="199"/>
      <c r="IYA205" s="199"/>
      <c r="IYB205" s="199"/>
      <c r="IYC205" s="199"/>
      <c r="IYD205" s="199"/>
      <c r="IYE205" s="199"/>
      <c r="IYF205" s="199"/>
      <c r="IYG205" s="199"/>
      <c r="IYH205" s="199"/>
      <c r="IYI205" s="199"/>
      <c r="IYJ205" s="199"/>
      <c r="IYK205" s="199"/>
      <c r="IYL205" s="199"/>
      <c r="IYM205" s="199"/>
      <c r="IYN205" s="199"/>
      <c r="IYO205" s="199"/>
      <c r="IYP205" s="199"/>
      <c r="IYQ205" s="199"/>
      <c r="IYR205" s="199"/>
      <c r="IYS205" s="199"/>
      <c r="IYT205" s="199"/>
      <c r="IYU205" s="199"/>
      <c r="IYV205" s="199"/>
      <c r="IYW205" s="199"/>
      <c r="IYX205" s="199"/>
      <c r="IYY205" s="199"/>
      <c r="IYZ205" s="199"/>
      <c r="IZA205" s="199"/>
      <c r="IZB205" s="199"/>
      <c r="IZC205" s="199"/>
      <c r="IZD205" s="199"/>
      <c r="IZE205" s="199"/>
      <c r="IZF205" s="199"/>
      <c r="IZG205" s="199"/>
      <c r="IZH205" s="199"/>
      <c r="IZI205" s="199"/>
      <c r="IZJ205" s="199"/>
      <c r="IZK205" s="199"/>
      <c r="IZL205" s="199"/>
      <c r="IZM205" s="199"/>
      <c r="IZN205" s="199"/>
      <c r="IZO205" s="199"/>
      <c r="IZP205" s="199"/>
      <c r="IZQ205" s="199"/>
      <c r="IZR205" s="199"/>
      <c r="IZS205" s="199"/>
      <c r="IZT205" s="199"/>
      <c r="IZU205" s="199"/>
      <c r="IZV205" s="199"/>
      <c r="IZW205" s="199"/>
      <c r="IZX205" s="199"/>
      <c r="IZY205" s="199"/>
      <c r="IZZ205" s="199"/>
      <c r="JAA205" s="199"/>
      <c r="JAB205" s="199"/>
      <c r="JAC205" s="199"/>
      <c r="JAD205" s="199"/>
      <c r="JAE205" s="199"/>
      <c r="JAF205" s="199"/>
      <c r="JAG205" s="199"/>
      <c r="JAH205" s="199"/>
      <c r="JAI205" s="199"/>
      <c r="JAJ205" s="199"/>
      <c r="JAK205" s="199"/>
      <c r="JAL205" s="199"/>
      <c r="JAM205" s="199"/>
      <c r="JAN205" s="199"/>
      <c r="JAO205" s="199"/>
      <c r="JAP205" s="199"/>
      <c r="JAQ205" s="199"/>
      <c r="JAR205" s="199"/>
      <c r="JAS205" s="199"/>
      <c r="JAT205" s="199"/>
      <c r="JAU205" s="199"/>
      <c r="JAV205" s="199"/>
      <c r="JAW205" s="199"/>
      <c r="JAX205" s="199"/>
      <c r="JAY205" s="199"/>
      <c r="JAZ205" s="199"/>
      <c r="JBA205" s="199"/>
      <c r="JBB205" s="199"/>
      <c r="JBC205" s="199"/>
      <c r="JBD205" s="199"/>
      <c r="JBE205" s="199"/>
      <c r="JBF205" s="199"/>
      <c r="JBG205" s="199"/>
      <c r="JBH205" s="199"/>
      <c r="JBI205" s="199"/>
      <c r="JBJ205" s="199"/>
      <c r="JBK205" s="199"/>
      <c r="JBL205" s="199"/>
      <c r="JBM205" s="199"/>
      <c r="JBN205" s="199"/>
      <c r="JBO205" s="199"/>
      <c r="JBP205" s="199"/>
      <c r="JBQ205" s="199"/>
      <c r="JBR205" s="199"/>
      <c r="JBS205" s="199"/>
      <c r="JBT205" s="199"/>
      <c r="JBU205" s="199"/>
      <c r="JBV205" s="199"/>
      <c r="JBW205" s="199"/>
      <c r="JBX205" s="199"/>
      <c r="JBY205" s="199"/>
      <c r="JBZ205" s="199"/>
      <c r="JCA205" s="199"/>
      <c r="JCB205" s="199"/>
      <c r="JCC205" s="199"/>
      <c r="JCD205" s="199"/>
      <c r="JCE205" s="199"/>
      <c r="JCF205" s="199"/>
      <c r="JCG205" s="199"/>
      <c r="JCH205" s="199"/>
      <c r="JCI205" s="199"/>
      <c r="JCJ205" s="199"/>
      <c r="JCK205" s="199"/>
      <c r="JCL205" s="199"/>
      <c r="JCM205" s="199"/>
      <c r="JCN205" s="199"/>
      <c r="JCO205" s="199"/>
      <c r="JCP205" s="199"/>
      <c r="JCQ205" s="199"/>
      <c r="JCR205" s="199"/>
      <c r="JCS205" s="199"/>
      <c r="JCT205" s="199"/>
      <c r="JCU205" s="199"/>
      <c r="JCV205" s="199"/>
      <c r="JCW205" s="199"/>
      <c r="JCX205" s="199"/>
      <c r="JCY205" s="199"/>
      <c r="JCZ205" s="199"/>
      <c r="JDA205" s="199"/>
      <c r="JDB205" s="199"/>
      <c r="JDC205" s="199"/>
      <c r="JDD205" s="199"/>
      <c r="JDE205" s="199"/>
      <c r="JDF205" s="199"/>
      <c r="JDG205" s="199"/>
      <c r="JDH205" s="199"/>
      <c r="JDI205" s="199"/>
      <c r="JDJ205" s="199"/>
      <c r="JDK205" s="199"/>
      <c r="JDL205" s="199"/>
      <c r="JDM205" s="199"/>
      <c r="JDN205" s="199"/>
      <c r="JDO205" s="199"/>
      <c r="JDP205" s="199"/>
      <c r="JDQ205" s="199"/>
      <c r="JDR205" s="199"/>
      <c r="JDS205" s="199"/>
      <c r="JDT205" s="199"/>
      <c r="JDU205" s="199"/>
      <c r="JDV205" s="199"/>
      <c r="JDW205" s="199"/>
      <c r="JDX205" s="199"/>
      <c r="JDY205" s="199"/>
      <c r="JDZ205" s="199"/>
      <c r="JEA205" s="199"/>
      <c r="JEB205" s="199"/>
      <c r="JEC205" s="199"/>
      <c r="JED205" s="199"/>
      <c r="JEE205" s="199"/>
      <c r="JEF205" s="199"/>
      <c r="JEG205" s="199"/>
      <c r="JEH205" s="199"/>
      <c r="JEI205" s="199"/>
      <c r="JEJ205" s="199"/>
      <c r="JEK205" s="199"/>
      <c r="JEL205" s="199"/>
      <c r="JEM205" s="199"/>
      <c r="JEN205" s="199"/>
      <c r="JEO205" s="199"/>
      <c r="JEP205" s="199"/>
      <c r="JEQ205" s="199"/>
      <c r="JER205" s="199"/>
      <c r="JES205" s="199"/>
      <c r="JET205" s="199"/>
      <c r="JEU205" s="199"/>
      <c r="JEV205" s="199"/>
      <c r="JEW205" s="199"/>
      <c r="JEX205" s="199"/>
      <c r="JEY205" s="199"/>
      <c r="JEZ205" s="199"/>
      <c r="JFA205" s="199"/>
      <c r="JFB205" s="199"/>
      <c r="JFC205" s="199"/>
      <c r="JFD205" s="199"/>
      <c r="JFE205" s="199"/>
      <c r="JFF205" s="199"/>
      <c r="JFG205" s="199"/>
      <c r="JFH205" s="199"/>
      <c r="JFI205" s="199"/>
      <c r="JFJ205" s="199"/>
      <c r="JFK205" s="199"/>
      <c r="JFL205" s="199"/>
      <c r="JFM205" s="199"/>
      <c r="JFN205" s="199"/>
      <c r="JFO205" s="199"/>
      <c r="JFP205" s="199"/>
      <c r="JFQ205" s="199"/>
      <c r="JFR205" s="199"/>
      <c r="JFS205" s="199"/>
      <c r="JFT205" s="199"/>
      <c r="JFU205" s="199"/>
      <c r="JFV205" s="199"/>
      <c r="JFW205" s="199"/>
      <c r="JFX205" s="199"/>
      <c r="JFY205" s="199"/>
      <c r="JFZ205" s="199"/>
      <c r="JGA205" s="199"/>
      <c r="JGB205" s="199"/>
      <c r="JGC205" s="199"/>
      <c r="JGD205" s="199"/>
      <c r="JGE205" s="199"/>
      <c r="JGF205" s="199"/>
      <c r="JGG205" s="199"/>
      <c r="JGH205" s="199"/>
      <c r="JGI205" s="199"/>
      <c r="JGJ205" s="199"/>
      <c r="JGK205" s="199"/>
      <c r="JGL205" s="199"/>
      <c r="JGM205" s="199"/>
      <c r="JGN205" s="199"/>
      <c r="JGO205" s="199"/>
      <c r="JGP205" s="199"/>
      <c r="JGQ205" s="199"/>
      <c r="JGR205" s="199"/>
      <c r="JGS205" s="199"/>
      <c r="JGT205" s="199"/>
      <c r="JGU205" s="199"/>
      <c r="JGV205" s="199"/>
      <c r="JGW205" s="199"/>
      <c r="JGX205" s="199"/>
      <c r="JGY205" s="199"/>
      <c r="JGZ205" s="199"/>
      <c r="JHA205" s="199"/>
      <c r="JHB205" s="199"/>
      <c r="JHC205" s="199"/>
      <c r="JHD205" s="199"/>
      <c r="JHE205" s="199"/>
      <c r="JHF205" s="199"/>
      <c r="JHG205" s="199"/>
      <c r="JHH205" s="199"/>
      <c r="JHI205" s="199"/>
      <c r="JHJ205" s="199"/>
      <c r="JHK205" s="199"/>
      <c r="JHL205" s="199"/>
      <c r="JHM205" s="199"/>
      <c r="JHN205" s="199"/>
      <c r="JHO205" s="199"/>
      <c r="JHP205" s="199"/>
      <c r="JHQ205" s="199"/>
      <c r="JHR205" s="199"/>
      <c r="JHS205" s="199"/>
      <c r="JHT205" s="199"/>
      <c r="JHU205" s="199"/>
      <c r="JHV205" s="199"/>
      <c r="JHW205" s="199"/>
      <c r="JHX205" s="199"/>
      <c r="JHY205" s="199"/>
      <c r="JHZ205" s="199"/>
      <c r="JIA205" s="199"/>
      <c r="JIB205" s="199"/>
      <c r="JIC205" s="199"/>
      <c r="JID205" s="199"/>
      <c r="JIE205" s="199"/>
      <c r="JIF205" s="199"/>
      <c r="JIG205" s="199"/>
      <c r="JIH205" s="199"/>
      <c r="JII205" s="199"/>
      <c r="JIJ205" s="199"/>
      <c r="JIK205" s="199"/>
      <c r="JIL205" s="199"/>
      <c r="JIM205" s="199"/>
      <c r="JIN205" s="199"/>
      <c r="JIO205" s="199"/>
      <c r="JIP205" s="199"/>
      <c r="JIQ205" s="199"/>
      <c r="JIR205" s="199"/>
      <c r="JIS205" s="199"/>
      <c r="JIT205" s="199"/>
      <c r="JIU205" s="199"/>
      <c r="JIV205" s="199"/>
      <c r="JIW205" s="199"/>
      <c r="JIX205" s="199"/>
      <c r="JIY205" s="199"/>
      <c r="JIZ205" s="199"/>
      <c r="JJA205" s="199"/>
      <c r="JJB205" s="199"/>
      <c r="JJC205" s="199"/>
      <c r="JJD205" s="199"/>
      <c r="JJE205" s="199"/>
      <c r="JJF205" s="199"/>
      <c r="JJG205" s="199"/>
      <c r="JJH205" s="199"/>
      <c r="JJI205" s="199"/>
      <c r="JJJ205" s="199"/>
      <c r="JJK205" s="199"/>
      <c r="JJL205" s="199"/>
      <c r="JJM205" s="199"/>
      <c r="JJN205" s="199"/>
      <c r="JJO205" s="199"/>
      <c r="JJP205" s="199"/>
      <c r="JJQ205" s="199"/>
      <c r="JJR205" s="199"/>
      <c r="JJS205" s="199"/>
      <c r="JJT205" s="199"/>
      <c r="JJU205" s="199"/>
      <c r="JJV205" s="199"/>
      <c r="JJW205" s="199"/>
      <c r="JJX205" s="199"/>
      <c r="JJY205" s="199"/>
      <c r="JJZ205" s="199"/>
      <c r="JKA205" s="199"/>
      <c r="JKB205" s="199"/>
      <c r="JKC205" s="199"/>
      <c r="JKD205" s="199"/>
      <c r="JKE205" s="199"/>
      <c r="JKF205" s="199"/>
      <c r="JKG205" s="199"/>
      <c r="JKH205" s="199"/>
      <c r="JKI205" s="199"/>
      <c r="JKJ205" s="199"/>
      <c r="JKK205" s="199"/>
      <c r="JKL205" s="199"/>
      <c r="JKM205" s="199"/>
      <c r="JKN205" s="199"/>
      <c r="JKO205" s="199"/>
      <c r="JKP205" s="199"/>
      <c r="JKQ205" s="199"/>
      <c r="JKR205" s="199"/>
      <c r="JKS205" s="199"/>
      <c r="JKT205" s="199"/>
      <c r="JKU205" s="199"/>
      <c r="JKV205" s="199"/>
      <c r="JKW205" s="199"/>
      <c r="JKX205" s="199"/>
      <c r="JKY205" s="199"/>
      <c r="JKZ205" s="199"/>
      <c r="JLA205" s="199"/>
      <c r="JLB205" s="199"/>
      <c r="JLC205" s="199"/>
      <c r="JLD205" s="199"/>
      <c r="JLE205" s="199"/>
      <c r="JLF205" s="199"/>
      <c r="JLG205" s="199"/>
      <c r="JLH205" s="199"/>
      <c r="JLI205" s="199"/>
      <c r="JLJ205" s="199"/>
      <c r="JLK205" s="199"/>
      <c r="JLL205" s="199"/>
      <c r="JLM205" s="199"/>
      <c r="JLN205" s="199"/>
      <c r="JLO205" s="199"/>
      <c r="JLP205" s="199"/>
      <c r="JLQ205" s="199"/>
      <c r="JLR205" s="199"/>
      <c r="JLS205" s="199"/>
      <c r="JLT205" s="199"/>
      <c r="JLU205" s="199"/>
      <c r="JLV205" s="199"/>
      <c r="JLW205" s="199"/>
      <c r="JLX205" s="199"/>
      <c r="JLY205" s="199"/>
      <c r="JLZ205" s="199"/>
      <c r="JMA205" s="199"/>
      <c r="JMB205" s="199"/>
      <c r="JMC205" s="199"/>
      <c r="JMD205" s="199"/>
      <c r="JME205" s="199"/>
      <c r="JMF205" s="199"/>
      <c r="JMG205" s="199"/>
      <c r="JMH205" s="199"/>
      <c r="JMI205" s="199"/>
      <c r="JMJ205" s="199"/>
      <c r="JMK205" s="199"/>
      <c r="JML205" s="199"/>
      <c r="JMM205" s="199"/>
      <c r="JMN205" s="199"/>
      <c r="JMO205" s="199"/>
      <c r="JMP205" s="199"/>
      <c r="JMQ205" s="199"/>
      <c r="JMR205" s="199"/>
      <c r="JMS205" s="199"/>
      <c r="JMT205" s="199"/>
      <c r="JMU205" s="199"/>
      <c r="JMV205" s="199"/>
      <c r="JMW205" s="199"/>
      <c r="JMX205" s="199"/>
      <c r="JMY205" s="199"/>
      <c r="JMZ205" s="199"/>
      <c r="JNA205" s="199"/>
      <c r="JNB205" s="199"/>
      <c r="JNC205" s="199"/>
      <c r="JND205" s="199"/>
      <c r="JNE205" s="199"/>
      <c r="JNF205" s="199"/>
      <c r="JNG205" s="199"/>
      <c r="JNH205" s="199"/>
      <c r="JNI205" s="199"/>
      <c r="JNJ205" s="199"/>
      <c r="JNK205" s="199"/>
      <c r="JNL205" s="199"/>
      <c r="JNM205" s="199"/>
      <c r="JNN205" s="199"/>
      <c r="JNO205" s="199"/>
      <c r="JNP205" s="199"/>
      <c r="JNQ205" s="199"/>
      <c r="JNR205" s="199"/>
      <c r="JNS205" s="199"/>
      <c r="JNT205" s="199"/>
      <c r="JNU205" s="199"/>
      <c r="JNV205" s="199"/>
      <c r="JNW205" s="199"/>
      <c r="JNX205" s="199"/>
      <c r="JNY205" s="199"/>
      <c r="JNZ205" s="199"/>
      <c r="JOA205" s="199"/>
      <c r="JOB205" s="199"/>
      <c r="JOC205" s="199"/>
      <c r="JOD205" s="199"/>
      <c r="JOE205" s="199"/>
      <c r="JOF205" s="199"/>
      <c r="JOG205" s="199"/>
      <c r="JOH205" s="199"/>
      <c r="JOI205" s="199"/>
      <c r="JOJ205" s="199"/>
      <c r="JOK205" s="199"/>
      <c r="JOL205" s="199"/>
      <c r="JOM205" s="199"/>
      <c r="JON205" s="199"/>
      <c r="JOO205" s="199"/>
      <c r="JOP205" s="199"/>
      <c r="JOQ205" s="199"/>
      <c r="JOR205" s="199"/>
      <c r="JOS205" s="199"/>
      <c r="JOT205" s="199"/>
      <c r="JOU205" s="199"/>
      <c r="JOV205" s="199"/>
      <c r="JOW205" s="199"/>
      <c r="JOX205" s="199"/>
      <c r="JOY205" s="199"/>
      <c r="JOZ205" s="199"/>
      <c r="JPA205" s="199"/>
      <c r="JPB205" s="199"/>
      <c r="JPC205" s="199"/>
      <c r="JPD205" s="199"/>
      <c r="JPE205" s="199"/>
      <c r="JPF205" s="199"/>
      <c r="JPG205" s="199"/>
      <c r="JPH205" s="199"/>
      <c r="JPI205" s="199"/>
      <c r="JPJ205" s="199"/>
      <c r="JPK205" s="199"/>
      <c r="JPL205" s="199"/>
      <c r="JPM205" s="199"/>
      <c r="JPN205" s="199"/>
      <c r="JPO205" s="199"/>
      <c r="JPP205" s="199"/>
      <c r="JPQ205" s="199"/>
      <c r="JPR205" s="199"/>
      <c r="JPS205" s="199"/>
      <c r="JPT205" s="199"/>
      <c r="JPU205" s="199"/>
      <c r="JPV205" s="199"/>
      <c r="JPW205" s="199"/>
      <c r="JPX205" s="199"/>
      <c r="JPY205" s="199"/>
      <c r="JPZ205" s="199"/>
      <c r="JQA205" s="199"/>
      <c r="JQB205" s="199"/>
      <c r="JQC205" s="199"/>
      <c r="JQD205" s="199"/>
      <c r="JQE205" s="199"/>
      <c r="JQF205" s="199"/>
      <c r="JQG205" s="199"/>
      <c r="JQH205" s="199"/>
      <c r="JQI205" s="199"/>
      <c r="JQJ205" s="199"/>
      <c r="JQK205" s="199"/>
      <c r="JQL205" s="199"/>
      <c r="JQM205" s="199"/>
      <c r="JQN205" s="199"/>
      <c r="JQO205" s="199"/>
      <c r="JQP205" s="199"/>
      <c r="JQQ205" s="199"/>
      <c r="JQR205" s="199"/>
      <c r="JQS205" s="199"/>
      <c r="JQT205" s="199"/>
      <c r="JQU205" s="199"/>
      <c r="JQV205" s="199"/>
      <c r="JQW205" s="199"/>
      <c r="JQX205" s="199"/>
      <c r="JQY205" s="199"/>
      <c r="JQZ205" s="199"/>
      <c r="JRA205" s="199"/>
      <c r="JRB205" s="199"/>
      <c r="JRC205" s="199"/>
      <c r="JRD205" s="199"/>
      <c r="JRE205" s="199"/>
      <c r="JRF205" s="199"/>
      <c r="JRG205" s="199"/>
      <c r="JRH205" s="199"/>
      <c r="JRI205" s="199"/>
      <c r="JRJ205" s="199"/>
      <c r="JRK205" s="199"/>
      <c r="JRL205" s="199"/>
      <c r="JRM205" s="199"/>
      <c r="JRN205" s="199"/>
      <c r="JRO205" s="199"/>
      <c r="JRP205" s="199"/>
      <c r="JRQ205" s="199"/>
      <c r="JRR205" s="199"/>
      <c r="JRS205" s="199"/>
      <c r="JRT205" s="199"/>
      <c r="JRU205" s="199"/>
      <c r="JRV205" s="199"/>
      <c r="JRW205" s="199"/>
      <c r="JRX205" s="199"/>
      <c r="JRY205" s="199"/>
      <c r="JRZ205" s="199"/>
      <c r="JSA205" s="199"/>
      <c r="JSB205" s="199"/>
      <c r="JSC205" s="199"/>
      <c r="JSD205" s="199"/>
      <c r="JSE205" s="199"/>
      <c r="JSF205" s="199"/>
      <c r="JSG205" s="199"/>
      <c r="JSH205" s="199"/>
      <c r="JSI205" s="199"/>
      <c r="JSJ205" s="199"/>
      <c r="JSK205" s="199"/>
      <c r="JSL205" s="199"/>
      <c r="JSM205" s="199"/>
      <c r="JSN205" s="199"/>
      <c r="JSO205" s="199"/>
      <c r="JSP205" s="199"/>
      <c r="JSQ205" s="199"/>
      <c r="JSR205" s="199"/>
      <c r="JSS205" s="199"/>
      <c r="JST205" s="199"/>
      <c r="JSU205" s="199"/>
      <c r="JSV205" s="199"/>
      <c r="JSW205" s="199"/>
      <c r="JSX205" s="199"/>
      <c r="JSY205" s="199"/>
      <c r="JSZ205" s="199"/>
      <c r="JTA205" s="199"/>
      <c r="JTB205" s="199"/>
      <c r="JTC205" s="199"/>
      <c r="JTD205" s="199"/>
      <c r="JTE205" s="199"/>
      <c r="JTF205" s="199"/>
      <c r="JTG205" s="199"/>
      <c r="JTH205" s="199"/>
      <c r="JTI205" s="199"/>
      <c r="JTJ205" s="199"/>
      <c r="JTK205" s="199"/>
      <c r="JTL205" s="199"/>
      <c r="JTM205" s="199"/>
      <c r="JTN205" s="199"/>
      <c r="JTO205" s="199"/>
      <c r="JTP205" s="199"/>
      <c r="JTQ205" s="199"/>
      <c r="JTR205" s="199"/>
      <c r="JTS205" s="199"/>
      <c r="JTT205" s="199"/>
      <c r="JTU205" s="199"/>
      <c r="JTV205" s="199"/>
      <c r="JTW205" s="199"/>
      <c r="JTX205" s="199"/>
      <c r="JTY205" s="199"/>
      <c r="JTZ205" s="199"/>
      <c r="JUA205" s="199"/>
      <c r="JUB205" s="199"/>
      <c r="JUC205" s="199"/>
      <c r="JUD205" s="199"/>
      <c r="JUE205" s="199"/>
      <c r="JUF205" s="199"/>
      <c r="JUG205" s="199"/>
      <c r="JUH205" s="199"/>
      <c r="JUI205" s="199"/>
      <c r="JUJ205" s="199"/>
      <c r="JUK205" s="199"/>
      <c r="JUL205" s="199"/>
      <c r="JUM205" s="199"/>
      <c r="JUN205" s="199"/>
      <c r="JUO205" s="199"/>
      <c r="JUP205" s="199"/>
      <c r="JUQ205" s="199"/>
      <c r="JUR205" s="199"/>
      <c r="JUS205" s="199"/>
      <c r="JUT205" s="199"/>
      <c r="JUU205" s="199"/>
      <c r="JUV205" s="199"/>
      <c r="JUW205" s="199"/>
      <c r="JUX205" s="199"/>
      <c r="JUY205" s="199"/>
      <c r="JUZ205" s="199"/>
      <c r="JVA205" s="199"/>
      <c r="JVB205" s="199"/>
      <c r="JVC205" s="199"/>
      <c r="JVD205" s="199"/>
      <c r="JVE205" s="199"/>
      <c r="JVF205" s="199"/>
      <c r="JVG205" s="199"/>
      <c r="JVH205" s="199"/>
      <c r="JVI205" s="199"/>
      <c r="JVJ205" s="199"/>
      <c r="JVK205" s="199"/>
      <c r="JVL205" s="199"/>
      <c r="JVM205" s="199"/>
      <c r="JVN205" s="199"/>
      <c r="JVO205" s="199"/>
      <c r="JVP205" s="199"/>
      <c r="JVQ205" s="199"/>
      <c r="JVR205" s="199"/>
      <c r="JVS205" s="199"/>
      <c r="JVT205" s="199"/>
      <c r="JVU205" s="199"/>
      <c r="JVV205" s="199"/>
      <c r="JVW205" s="199"/>
      <c r="JVX205" s="199"/>
      <c r="JVY205" s="199"/>
      <c r="JVZ205" s="199"/>
      <c r="JWA205" s="199"/>
      <c r="JWB205" s="199"/>
      <c r="JWC205" s="199"/>
      <c r="JWD205" s="199"/>
      <c r="JWE205" s="199"/>
      <c r="JWF205" s="199"/>
      <c r="JWG205" s="199"/>
      <c r="JWH205" s="199"/>
      <c r="JWI205" s="199"/>
      <c r="JWJ205" s="199"/>
      <c r="JWK205" s="199"/>
      <c r="JWL205" s="199"/>
      <c r="JWM205" s="199"/>
      <c r="JWN205" s="199"/>
      <c r="JWO205" s="199"/>
      <c r="JWP205" s="199"/>
      <c r="JWQ205" s="199"/>
      <c r="JWR205" s="199"/>
      <c r="JWS205" s="199"/>
      <c r="JWT205" s="199"/>
      <c r="JWU205" s="199"/>
      <c r="JWV205" s="199"/>
      <c r="JWW205" s="199"/>
      <c r="JWX205" s="199"/>
      <c r="JWY205" s="199"/>
      <c r="JWZ205" s="199"/>
      <c r="JXA205" s="199"/>
      <c r="JXB205" s="199"/>
      <c r="JXC205" s="199"/>
      <c r="JXD205" s="199"/>
      <c r="JXE205" s="199"/>
      <c r="JXF205" s="199"/>
      <c r="JXG205" s="199"/>
      <c r="JXH205" s="199"/>
      <c r="JXI205" s="199"/>
      <c r="JXJ205" s="199"/>
      <c r="JXK205" s="199"/>
      <c r="JXL205" s="199"/>
      <c r="JXM205" s="199"/>
      <c r="JXN205" s="199"/>
      <c r="JXO205" s="199"/>
      <c r="JXP205" s="199"/>
      <c r="JXQ205" s="199"/>
      <c r="JXR205" s="199"/>
      <c r="JXS205" s="199"/>
      <c r="JXT205" s="199"/>
      <c r="JXU205" s="199"/>
      <c r="JXV205" s="199"/>
      <c r="JXW205" s="199"/>
      <c r="JXX205" s="199"/>
      <c r="JXY205" s="199"/>
      <c r="JXZ205" s="199"/>
      <c r="JYA205" s="199"/>
      <c r="JYB205" s="199"/>
      <c r="JYC205" s="199"/>
      <c r="JYD205" s="199"/>
      <c r="JYE205" s="199"/>
      <c r="JYF205" s="199"/>
      <c r="JYG205" s="199"/>
      <c r="JYH205" s="199"/>
      <c r="JYI205" s="199"/>
      <c r="JYJ205" s="199"/>
      <c r="JYK205" s="199"/>
      <c r="JYL205" s="199"/>
      <c r="JYM205" s="199"/>
      <c r="JYN205" s="199"/>
      <c r="JYO205" s="199"/>
      <c r="JYP205" s="199"/>
      <c r="JYQ205" s="199"/>
      <c r="JYR205" s="199"/>
      <c r="JYS205" s="199"/>
      <c r="JYT205" s="199"/>
      <c r="JYU205" s="199"/>
      <c r="JYV205" s="199"/>
      <c r="JYW205" s="199"/>
      <c r="JYX205" s="199"/>
      <c r="JYY205" s="199"/>
      <c r="JYZ205" s="199"/>
      <c r="JZA205" s="199"/>
      <c r="JZB205" s="199"/>
      <c r="JZC205" s="199"/>
      <c r="JZD205" s="199"/>
      <c r="JZE205" s="199"/>
      <c r="JZF205" s="199"/>
      <c r="JZG205" s="199"/>
      <c r="JZH205" s="199"/>
      <c r="JZI205" s="199"/>
      <c r="JZJ205" s="199"/>
      <c r="JZK205" s="199"/>
      <c r="JZL205" s="199"/>
      <c r="JZM205" s="199"/>
      <c r="JZN205" s="199"/>
      <c r="JZO205" s="199"/>
      <c r="JZP205" s="199"/>
      <c r="JZQ205" s="199"/>
      <c r="JZR205" s="199"/>
      <c r="JZS205" s="199"/>
      <c r="JZT205" s="199"/>
      <c r="JZU205" s="199"/>
      <c r="JZV205" s="199"/>
      <c r="JZW205" s="199"/>
      <c r="JZX205" s="199"/>
      <c r="JZY205" s="199"/>
      <c r="JZZ205" s="199"/>
      <c r="KAA205" s="199"/>
      <c r="KAB205" s="199"/>
      <c r="KAC205" s="199"/>
      <c r="KAD205" s="199"/>
      <c r="KAE205" s="199"/>
      <c r="KAF205" s="199"/>
      <c r="KAG205" s="199"/>
      <c r="KAH205" s="199"/>
      <c r="KAI205" s="199"/>
      <c r="KAJ205" s="199"/>
      <c r="KAK205" s="199"/>
      <c r="KAL205" s="199"/>
      <c r="KAM205" s="199"/>
      <c r="KAN205" s="199"/>
      <c r="KAO205" s="199"/>
      <c r="KAP205" s="199"/>
      <c r="KAQ205" s="199"/>
      <c r="KAR205" s="199"/>
      <c r="KAS205" s="199"/>
      <c r="KAT205" s="199"/>
      <c r="KAU205" s="199"/>
      <c r="KAV205" s="199"/>
      <c r="KAW205" s="199"/>
      <c r="KAX205" s="199"/>
      <c r="KAY205" s="199"/>
      <c r="KAZ205" s="199"/>
      <c r="KBA205" s="199"/>
      <c r="KBB205" s="199"/>
      <c r="KBC205" s="199"/>
      <c r="KBD205" s="199"/>
      <c r="KBE205" s="199"/>
      <c r="KBF205" s="199"/>
      <c r="KBG205" s="199"/>
      <c r="KBH205" s="199"/>
      <c r="KBI205" s="199"/>
      <c r="KBJ205" s="199"/>
      <c r="KBK205" s="199"/>
      <c r="KBL205" s="199"/>
      <c r="KBM205" s="199"/>
      <c r="KBN205" s="199"/>
      <c r="KBO205" s="199"/>
      <c r="KBP205" s="199"/>
      <c r="KBQ205" s="199"/>
      <c r="KBR205" s="199"/>
      <c r="KBS205" s="199"/>
      <c r="KBT205" s="199"/>
      <c r="KBU205" s="199"/>
      <c r="KBV205" s="199"/>
      <c r="KBW205" s="199"/>
      <c r="KBX205" s="199"/>
      <c r="KBY205" s="199"/>
      <c r="KBZ205" s="199"/>
      <c r="KCA205" s="199"/>
      <c r="KCB205" s="199"/>
      <c r="KCC205" s="199"/>
      <c r="KCD205" s="199"/>
      <c r="KCE205" s="199"/>
      <c r="KCF205" s="199"/>
      <c r="KCG205" s="199"/>
      <c r="KCH205" s="199"/>
      <c r="KCI205" s="199"/>
      <c r="KCJ205" s="199"/>
      <c r="KCK205" s="199"/>
      <c r="KCL205" s="199"/>
      <c r="KCM205" s="199"/>
      <c r="KCN205" s="199"/>
      <c r="KCO205" s="199"/>
      <c r="KCP205" s="199"/>
      <c r="KCQ205" s="199"/>
      <c r="KCR205" s="199"/>
      <c r="KCS205" s="199"/>
      <c r="KCT205" s="199"/>
      <c r="KCU205" s="199"/>
      <c r="KCV205" s="199"/>
      <c r="KCW205" s="199"/>
      <c r="KCX205" s="199"/>
      <c r="KCY205" s="199"/>
      <c r="KCZ205" s="199"/>
      <c r="KDA205" s="199"/>
      <c r="KDB205" s="199"/>
      <c r="KDC205" s="199"/>
      <c r="KDD205" s="199"/>
      <c r="KDE205" s="199"/>
      <c r="KDF205" s="199"/>
      <c r="KDG205" s="199"/>
      <c r="KDH205" s="199"/>
      <c r="KDI205" s="199"/>
      <c r="KDJ205" s="199"/>
      <c r="KDK205" s="199"/>
      <c r="KDL205" s="199"/>
      <c r="KDM205" s="199"/>
      <c r="KDN205" s="199"/>
      <c r="KDO205" s="199"/>
      <c r="KDP205" s="199"/>
      <c r="KDQ205" s="199"/>
      <c r="KDR205" s="199"/>
      <c r="KDS205" s="199"/>
      <c r="KDT205" s="199"/>
      <c r="KDU205" s="199"/>
      <c r="KDV205" s="199"/>
      <c r="KDW205" s="199"/>
      <c r="KDX205" s="199"/>
      <c r="KDY205" s="199"/>
      <c r="KDZ205" s="199"/>
      <c r="KEA205" s="199"/>
      <c r="KEB205" s="199"/>
      <c r="KEC205" s="199"/>
      <c r="KED205" s="199"/>
      <c r="KEE205" s="199"/>
      <c r="KEF205" s="199"/>
      <c r="KEG205" s="199"/>
      <c r="KEH205" s="199"/>
      <c r="KEI205" s="199"/>
      <c r="KEJ205" s="199"/>
      <c r="KEK205" s="199"/>
      <c r="KEL205" s="199"/>
      <c r="KEM205" s="199"/>
      <c r="KEN205" s="199"/>
      <c r="KEO205" s="199"/>
      <c r="KEP205" s="199"/>
      <c r="KEQ205" s="199"/>
      <c r="KER205" s="199"/>
      <c r="KES205" s="199"/>
      <c r="KET205" s="199"/>
      <c r="KEU205" s="199"/>
      <c r="KEV205" s="199"/>
      <c r="KEW205" s="199"/>
      <c r="KEX205" s="199"/>
      <c r="KEY205" s="199"/>
      <c r="KEZ205" s="199"/>
      <c r="KFA205" s="199"/>
      <c r="KFB205" s="199"/>
      <c r="KFC205" s="199"/>
      <c r="KFD205" s="199"/>
      <c r="KFE205" s="199"/>
      <c r="KFF205" s="199"/>
      <c r="KFG205" s="199"/>
      <c r="KFH205" s="199"/>
      <c r="KFI205" s="199"/>
      <c r="KFJ205" s="199"/>
      <c r="KFK205" s="199"/>
      <c r="KFL205" s="199"/>
      <c r="KFM205" s="199"/>
      <c r="KFN205" s="199"/>
      <c r="KFO205" s="199"/>
      <c r="KFP205" s="199"/>
      <c r="KFQ205" s="199"/>
      <c r="KFR205" s="199"/>
      <c r="KFS205" s="199"/>
      <c r="KFT205" s="199"/>
      <c r="KFU205" s="199"/>
      <c r="KFV205" s="199"/>
      <c r="KFW205" s="199"/>
      <c r="KFX205" s="199"/>
      <c r="KFY205" s="199"/>
      <c r="KFZ205" s="199"/>
      <c r="KGA205" s="199"/>
      <c r="KGB205" s="199"/>
      <c r="KGC205" s="199"/>
      <c r="KGD205" s="199"/>
      <c r="KGE205" s="199"/>
      <c r="KGF205" s="199"/>
      <c r="KGG205" s="199"/>
      <c r="KGH205" s="199"/>
      <c r="KGI205" s="199"/>
      <c r="KGJ205" s="199"/>
      <c r="KGK205" s="199"/>
      <c r="KGL205" s="199"/>
      <c r="KGM205" s="199"/>
      <c r="KGN205" s="199"/>
      <c r="KGO205" s="199"/>
      <c r="KGP205" s="199"/>
      <c r="KGQ205" s="199"/>
      <c r="KGR205" s="199"/>
      <c r="KGS205" s="199"/>
      <c r="KGT205" s="199"/>
      <c r="KGU205" s="199"/>
      <c r="KGV205" s="199"/>
      <c r="KGW205" s="199"/>
      <c r="KGX205" s="199"/>
      <c r="KGY205" s="199"/>
      <c r="KGZ205" s="199"/>
      <c r="KHA205" s="199"/>
      <c r="KHB205" s="199"/>
      <c r="KHC205" s="199"/>
      <c r="KHD205" s="199"/>
      <c r="KHE205" s="199"/>
      <c r="KHF205" s="199"/>
      <c r="KHG205" s="199"/>
      <c r="KHH205" s="199"/>
      <c r="KHI205" s="199"/>
      <c r="KHJ205" s="199"/>
      <c r="KHK205" s="199"/>
      <c r="KHL205" s="199"/>
      <c r="KHM205" s="199"/>
      <c r="KHN205" s="199"/>
      <c r="KHO205" s="199"/>
      <c r="KHP205" s="199"/>
      <c r="KHQ205" s="199"/>
      <c r="KHR205" s="199"/>
      <c r="KHS205" s="199"/>
      <c r="KHT205" s="199"/>
      <c r="KHU205" s="199"/>
      <c r="KHV205" s="199"/>
      <c r="KHW205" s="199"/>
      <c r="KHX205" s="199"/>
      <c r="KHY205" s="199"/>
      <c r="KHZ205" s="199"/>
      <c r="KIA205" s="199"/>
      <c r="KIB205" s="199"/>
      <c r="KIC205" s="199"/>
      <c r="KID205" s="199"/>
      <c r="KIE205" s="199"/>
      <c r="KIF205" s="199"/>
      <c r="KIG205" s="199"/>
      <c r="KIH205" s="199"/>
      <c r="KII205" s="199"/>
      <c r="KIJ205" s="199"/>
      <c r="KIK205" s="199"/>
      <c r="KIL205" s="199"/>
      <c r="KIM205" s="199"/>
      <c r="KIN205" s="199"/>
      <c r="KIO205" s="199"/>
      <c r="KIP205" s="199"/>
      <c r="KIQ205" s="199"/>
      <c r="KIR205" s="199"/>
      <c r="KIS205" s="199"/>
      <c r="KIT205" s="199"/>
      <c r="KIU205" s="199"/>
      <c r="KIV205" s="199"/>
      <c r="KIW205" s="199"/>
      <c r="KIX205" s="199"/>
      <c r="KIY205" s="199"/>
      <c r="KIZ205" s="199"/>
      <c r="KJA205" s="199"/>
      <c r="KJB205" s="199"/>
      <c r="KJC205" s="199"/>
      <c r="KJD205" s="199"/>
      <c r="KJE205" s="199"/>
      <c r="KJF205" s="199"/>
      <c r="KJG205" s="199"/>
      <c r="KJH205" s="199"/>
      <c r="KJI205" s="199"/>
      <c r="KJJ205" s="199"/>
      <c r="KJK205" s="199"/>
      <c r="KJL205" s="199"/>
      <c r="KJM205" s="199"/>
      <c r="KJN205" s="199"/>
      <c r="KJO205" s="199"/>
      <c r="KJP205" s="199"/>
      <c r="KJQ205" s="199"/>
      <c r="KJR205" s="199"/>
      <c r="KJS205" s="199"/>
      <c r="KJT205" s="199"/>
      <c r="KJU205" s="199"/>
      <c r="KJV205" s="199"/>
      <c r="KJW205" s="199"/>
      <c r="KJX205" s="199"/>
      <c r="KJY205" s="199"/>
      <c r="KJZ205" s="199"/>
      <c r="KKA205" s="199"/>
      <c r="KKB205" s="199"/>
      <c r="KKC205" s="199"/>
      <c r="KKD205" s="199"/>
      <c r="KKE205" s="199"/>
      <c r="KKF205" s="199"/>
      <c r="KKG205" s="199"/>
      <c r="KKH205" s="199"/>
      <c r="KKI205" s="199"/>
      <c r="KKJ205" s="199"/>
      <c r="KKK205" s="199"/>
      <c r="KKL205" s="199"/>
      <c r="KKM205" s="199"/>
      <c r="KKN205" s="199"/>
      <c r="KKO205" s="199"/>
      <c r="KKP205" s="199"/>
      <c r="KKQ205" s="199"/>
      <c r="KKR205" s="199"/>
      <c r="KKS205" s="199"/>
      <c r="KKT205" s="199"/>
      <c r="KKU205" s="199"/>
      <c r="KKV205" s="199"/>
      <c r="KKW205" s="199"/>
      <c r="KKX205" s="199"/>
      <c r="KKY205" s="199"/>
      <c r="KKZ205" s="199"/>
      <c r="KLA205" s="199"/>
      <c r="KLB205" s="199"/>
      <c r="KLC205" s="199"/>
      <c r="KLD205" s="199"/>
      <c r="KLE205" s="199"/>
      <c r="KLF205" s="199"/>
      <c r="KLG205" s="199"/>
      <c r="KLH205" s="199"/>
      <c r="KLI205" s="199"/>
      <c r="KLJ205" s="199"/>
      <c r="KLK205" s="199"/>
      <c r="KLL205" s="199"/>
      <c r="KLM205" s="199"/>
      <c r="KLN205" s="199"/>
      <c r="KLO205" s="199"/>
      <c r="KLP205" s="199"/>
      <c r="KLQ205" s="199"/>
      <c r="KLR205" s="199"/>
      <c r="KLS205" s="199"/>
      <c r="KLT205" s="199"/>
      <c r="KLU205" s="199"/>
      <c r="KLV205" s="199"/>
      <c r="KLW205" s="199"/>
      <c r="KLX205" s="199"/>
      <c r="KLY205" s="199"/>
      <c r="KLZ205" s="199"/>
      <c r="KMA205" s="199"/>
      <c r="KMB205" s="199"/>
      <c r="KMC205" s="199"/>
      <c r="KMD205" s="199"/>
      <c r="KME205" s="199"/>
      <c r="KMF205" s="199"/>
      <c r="KMG205" s="199"/>
      <c r="KMH205" s="199"/>
      <c r="KMI205" s="199"/>
      <c r="KMJ205" s="199"/>
      <c r="KMK205" s="199"/>
      <c r="KML205" s="199"/>
      <c r="KMM205" s="199"/>
      <c r="KMN205" s="199"/>
      <c r="KMO205" s="199"/>
      <c r="KMP205" s="199"/>
      <c r="KMQ205" s="199"/>
      <c r="KMR205" s="199"/>
      <c r="KMS205" s="199"/>
      <c r="KMT205" s="199"/>
      <c r="KMU205" s="199"/>
      <c r="KMV205" s="199"/>
      <c r="KMW205" s="199"/>
      <c r="KMX205" s="199"/>
      <c r="KMY205" s="199"/>
      <c r="KMZ205" s="199"/>
      <c r="KNA205" s="199"/>
      <c r="KNB205" s="199"/>
      <c r="KNC205" s="199"/>
      <c r="KND205" s="199"/>
      <c r="KNE205" s="199"/>
      <c r="KNF205" s="199"/>
      <c r="KNG205" s="199"/>
      <c r="KNH205" s="199"/>
      <c r="KNI205" s="199"/>
      <c r="KNJ205" s="199"/>
      <c r="KNK205" s="199"/>
      <c r="KNL205" s="199"/>
      <c r="KNM205" s="199"/>
      <c r="KNN205" s="199"/>
      <c r="KNO205" s="199"/>
      <c r="KNP205" s="199"/>
      <c r="KNQ205" s="199"/>
      <c r="KNR205" s="199"/>
      <c r="KNS205" s="199"/>
      <c r="KNT205" s="199"/>
      <c r="KNU205" s="199"/>
      <c r="KNV205" s="199"/>
      <c r="KNW205" s="199"/>
      <c r="KNX205" s="199"/>
      <c r="KNY205" s="199"/>
      <c r="KNZ205" s="199"/>
      <c r="KOA205" s="199"/>
      <c r="KOB205" s="199"/>
      <c r="KOC205" s="199"/>
      <c r="KOD205" s="199"/>
      <c r="KOE205" s="199"/>
      <c r="KOF205" s="199"/>
      <c r="KOG205" s="199"/>
      <c r="KOH205" s="199"/>
      <c r="KOI205" s="199"/>
      <c r="KOJ205" s="199"/>
      <c r="KOK205" s="199"/>
      <c r="KOL205" s="199"/>
      <c r="KOM205" s="199"/>
      <c r="KON205" s="199"/>
      <c r="KOO205" s="199"/>
      <c r="KOP205" s="199"/>
      <c r="KOQ205" s="199"/>
      <c r="KOR205" s="199"/>
      <c r="KOS205" s="199"/>
      <c r="KOT205" s="199"/>
      <c r="KOU205" s="199"/>
      <c r="KOV205" s="199"/>
      <c r="KOW205" s="199"/>
      <c r="KOX205" s="199"/>
      <c r="KOY205" s="199"/>
      <c r="KOZ205" s="199"/>
      <c r="KPA205" s="199"/>
      <c r="KPB205" s="199"/>
      <c r="KPC205" s="199"/>
      <c r="KPD205" s="199"/>
      <c r="KPE205" s="199"/>
      <c r="KPF205" s="199"/>
      <c r="KPG205" s="199"/>
      <c r="KPH205" s="199"/>
      <c r="KPI205" s="199"/>
      <c r="KPJ205" s="199"/>
      <c r="KPK205" s="199"/>
      <c r="KPL205" s="199"/>
      <c r="KPM205" s="199"/>
      <c r="KPN205" s="199"/>
      <c r="KPO205" s="199"/>
      <c r="KPP205" s="199"/>
      <c r="KPQ205" s="199"/>
      <c r="KPR205" s="199"/>
      <c r="KPS205" s="199"/>
      <c r="KPT205" s="199"/>
      <c r="KPU205" s="199"/>
      <c r="KPV205" s="199"/>
      <c r="KPW205" s="199"/>
      <c r="KPX205" s="199"/>
      <c r="KPY205" s="199"/>
      <c r="KPZ205" s="199"/>
      <c r="KQA205" s="199"/>
      <c r="KQB205" s="199"/>
      <c r="KQC205" s="199"/>
      <c r="KQD205" s="199"/>
      <c r="KQE205" s="199"/>
      <c r="KQF205" s="199"/>
      <c r="KQG205" s="199"/>
      <c r="KQH205" s="199"/>
      <c r="KQI205" s="199"/>
      <c r="KQJ205" s="199"/>
      <c r="KQK205" s="199"/>
      <c r="KQL205" s="199"/>
      <c r="KQM205" s="199"/>
      <c r="KQN205" s="199"/>
      <c r="KQO205" s="199"/>
      <c r="KQP205" s="199"/>
      <c r="KQQ205" s="199"/>
      <c r="KQR205" s="199"/>
      <c r="KQS205" s="199"/>
      <c r="KQT205" s="199"/>
      <c r="KQU205" s="199"/>
      <c r="KQV205" s="199"/>
      <c r="KQW205" s="199"/>
      <c r="KQX205" s="199"/>
      <c r="KQY205" s="199"/>
      <c r="KQZ205" s="199"/>
      <c r="KRA205" s="199"/>
      <c r="KRB205" s="199"/>
      <c r="KRC205" s="199"/>
      <c r="KRD205" s="199"/>
      <c r="KRE205" s="199"/>
      <c r="KRF205" s="199"/>
      <c r="KRG205" s="199"/>
      <c r="KRH205" s="199"/>
      <c r="KRI205" s="199"/>
      <c r="KRJ205" s="199"/>
      <c r="KRK205" s="199"/>
      <c r="KRL205" s="199"/>
      <c r="KRM205" s="199"/>
      <c r="KRN205" s="199"/>
      <c r="KRO205" s="199"/>
      <c r="KRP205" s="199"/>
      <c r="KRQ205" s="199"/>
      <c r="KRR205" s="199"/>
      <c r="KRS205" s="199"/>
      <c r="KRT205" s="199"/>
      <c r="KRU205" s="199"/>
      <c r="KRV205" s="199"/>
      <c r="KRW205" s="199"/>
      <c r="KRX205" s="199"/>
      <c r="KRY205" s="199"/>
      <c r="KRZ205" s="199"/>
      <c r="KSA205" s="199"/>
      <c r="KSB205" s="199"/>
      <c r="KSC205" s="199"/>
      <c r="KSD205" s="199"/>
      <c r="KSE205" s="199"/>
      <c r="KSF205" s="199"/>
      <c r="KSG205" s="199"/>
      <c r="KSH205" s="199"/>
      <c r="KSI205" s="199"/>
      <c r="KSJ205" s="199"/>
      <c r="KSK205" s="199"/>
      <c r="KSL205" s="199"/>
      <c r="KSM205" s="199"/>
      <c r="KSN205" s="199"/>
      <c r="KSO205" s="199"/>
      <c r="KSP205" s="199"/>
      <c r="KSQ205" s="199"/>
      <c r="KSR205" s="199"/>
      <c r="KSS205" s="199"/>
      <c r="KST205" s="199"/>
      <c r="KSU205" s="199"/>
      <c r="KSV205" s="199"/>
      <c r="KSW205" s="199"/>
      <c r="KSX205" s="199"/>
      <c r="KSY205" s="199"/>
      <c r="KSZ205" s="199"/>
      <c r="KTA205" s="199"/>
      <c r="KTB205" s="199"/>
      <c r="KTC205" s="199"/>
      <c r="KTD205" s="199"/>
      <c r="KTE205" s="199"/>
      <c r="KTF205" s="199"/>
      <c r="KTG205" s="199"/>
      <c r="KTH205" s="199"/>
      <c r="KTI205" s="199"/>
      <c r="KTJ205" s="199"/>
      <c r="KTK205" s="199"/>
      <c r="KTL205" s="199"/>
      <c r="KTM205" s="199"/>
      <c r="KTN205" s="199"/>
      <c r="KTO205" s="199"/>
      <c r="KTP205" s="199"/>
      <c r="KTQ205" s="199"/>
      <c r="KTR205" s="199"/>
      <c r="KTS205" s="199"/>
      <c r="KTT205" s="199"/>
      <c r="KTU205" s="199"/>
      <c r="KTV205" s="199"/>
      <c r="KTW205" s="199"/>
      <c r="KTX205" s="199"/>
      <c r="KTY205" s="199"/>
      <c r="KTZ205" s="199"/>
      <c r="KUA205" s="199"/>
      <c r="KUB205" s="199"/>
      <c r="KUC205" s="199"/>
      <c r="KUD205" s="199"/>
      <c r="KUE205" s="199"/>
      <c r="KUF205" s="199"/>
      <c r="KUG205" s="199"/>
      <c r="KUH205" s="199"/>
      <c r="KUI205" s="199"/>
      <c r="KUJ205" s="199"/>
      <c r="KUK205" s="199"/>
      <c r="KUL205" s="199"/>
      <c r="KUM205" s="199"/>
      <c r="KUN205" s="199"/>
      <c r="KUO205" s="199"/>
      <c r="KUP205" s="199"/>
      <c r="KUQ205" s="199"/>
      <c r="KUR205" s="199"/>
      <c r="KUS205" s="199"/>
      <c r="KUT205" s="199"/>
      <c r="KUU205" s="199"/>
      <c r="KUV205" s="199"/>
      <c r="KUW205" s="199"/>
      <c r="KUX205" s="199"/>
      <c r="KUY205" s="199"/>
      <c r="KUZ205" s="199"/>
      <c r="KVA205" s="199"/>
      <c r="KVB205" s="199"/>
      <c r="KVC205" s="199"/>
      <c r="KVD205" s="199"/>
      <c r="KVE205" s="199"/>
      <c r="KVF205" s="199"/>
      <c r="KVG205" s="199"/>
      <c r="KVH205" s="199"/>
      <c r="KVI205" s="199"/>
      <c r="KVJ205" s="199"/>
      <c r="KVK205" s="199"/>
      <c r="KVL205" s="199"/>
      <c r="KVM205" s="199"/>
      <c r="KVN205" s="199"/>
      <c r="KVO205" s="199"/>
      <c r="KVP205" s="199"/>
      <c r="KVQ205" s="199"/>
      <c r="KVR205" s="199"/>
      <c r="KVS205" s="199"/>
      <c r="KVT205" s="199"/>
      <c r="KVU205" s="199"/>
      <c r="KVV205" s="199"/>
      <c r="KVW205" s="199"/>
      <c r="KVX205" s="199"/>
      <c r="KVY205" s="199"/>
      <c r="KVZ205" s="199"/>
      <c r="KWA205" s="199"/>
      <c r="KWB205" s="199"/>
      <c r="KWC205" s="199"/>
      <c r="KWD205" s="199"/>
      <c r="KWE205" s="199"/>
      <c r="KWF205" s="199"/>
      <c r="KWG205" s="199"/>
      <c r="KWH205" s="199"/>
      <c r="KWI205" s="199"/>
      <c r="KWJ205" s="199"/>
      <c r="KWK205" s="199"/>
      <c r="KWL205" s="199"/>
      <c r="KWM205" s="199"/>
      <c r="KWN205" s="199"/>
      <c r="KWO205" s="199"/>
      <c r="KWP205" s="199"/>
      <c r="KWQ205" s="199"/>
      <c r="KWR205" s="199"/>
      <c r="KWS205" s="199"/>
      <c r="KWT205" s="199"/>
      <c r="KWU205" s="199"/>
      <c r="KWV205" s="199"/>
      <c r="KWW205" s="199"/>
      <c r="KWX205" s="199"/>
      <c r="KWY205" s="199"/>
      <c r="KWZ205" s="199"/>
      <c r="KXA205" s="199"/>
      <c r="KXB205" s="199"/>
      <c r="KXC205" s="199"/>
      <c r="KXD205" s="199"/>
      <c r="KXE205" s="199"/>
      <c r="KXF205" s="199"/>
      <c r="KXG205" s="199"/>
      <c r="KXH205" s="199"/>
      <c r="KXI205" s="199"/>
      <c r="KXJ205" s="199"/>
      <c r="KXK205" s="199"/>
      <c r="KXL205" s="199"/>
      <c r="KXM205" s="199"/>
      <c r="KXN205" s="199"/>
      <c r="KXO205" s="199"/>
      <c r="KXP205" s="199"/>
      <c r="KXQ205" s="199"/>
      <c r="KXR205" s="199"/>
      <c r="KXS205" s="199"/>
      <c r="KXT205" s="199"/>
      <c r="KXU205" s="199"/>
      <c r="KXV205" s="199"/>
      <c r="KXW205" s="199"/>
      <c r="KXX205" s="199"/>
      <c r="KXY205" s="199"/>
      <c r="KXZ205" s="199"/>
      <c r="KYA205" s="199"/>
      <c r="KYB205" s="199"/>
      <c r="KYC205" s="199"/>
      <c r="KYD205" s="199"/>
      <c r="KYE205" s="199"/>
      <c r="KYF205" s="199"/>
      <c r="KYG205" s="199"/>
      <c r="KYH205" s="199"/>
      <c r="KYI205" s="199"/>
      <c r="KYJ205" s="199"/>
      <c r="KYK205" s="199"/>
      <c r="KYL205" s="199"/>
      <c r="KYM205" s="199"/>
      <c r="KYN205" s="199"/>
      <c r="KYO205" s="199"/>
      <c r="KYP205" s="199"/>
      <c r="KYQ205" s="199"/>
      <c r="KYR205" s="199"/>
      <c r="KYS205" s="199"/>
      <c r="KYT205" s="199"/>
      <c r="KYU205" s="199"/>
      <c r="KYV205" s="199"/>
      <c r="KYW205" s="199"/>
      <c r="KYX205" s="199"/>
      <c r="KYY205" s="199"/>
      <c r="KYZ205" s="199"/>
      <c r="KZA205" s="199"/>
      <c r="KZB205" s="199"/>
      <c r="KZC205" s="199"/>
      <c r="KZD205" s="199"/>
      <c r="KZE205" s="199"/>
      <c r="KZF205" s="199"/>
      <c r="KZG205" s="199"/>
      <c r="KZH205" s="199"/>
      <c r="KZI205" s="199"/>
      <c r="KZJ205" s="199"/>
      <c r="KZK205" s="199"/>
      <c r="KZL205" s="199"/>
      <c r="KZM205" s="199"/>
      <c r="KZN205" s="199"/>
      <c r="KZO205" s="199"/>
      <c r="KZP205" s="199"/>
      <c r="KZQ205" s="199"/>
      <c r="KZR205" s="199"/>
      <c r="KZS205" s="199"/>
      <c r="KZT205" s="199"/>
      <c r="KZU205" s="199"/>
      <c r="KZV205" s="199"/>
      <c r="KZW205" s="199"/>
      <c r="KZX205" s="199"/>
      <c r="KZY205" s="199"/>
      <c r="KZZ205" s="199"/>
      <c r="LAA205" s="199"/>
      <c r="LAB205" s="199"/>
      <c r="LAC205" s="199"/>
      <c r="LAD205" s="199"/>
      <c r="LAE205" s="199"/>
      <c r="LAF205" s="199"/>
      <c r="LAG205" s="199"/>
      <c r="LAH205" s="199"/>
      <c r="LAI205" s="199"/>
      <c r="LAJ205" s="199"/>
      <c r="LAK205" s="199"/>
      <c r="LAL205" s="199"/>
      <c r="LAM205" s="199"/>
      <c r="LAN205" s="199"/>
      <c r="LAO205" s="199"/>
      <c r="LAP205" s="199"/>
      <c r="LAQ205" s="199"/>
      <c r="LAR205" s="199"/>
      <c r="LAS205" s="199"/>
      <c r="LAT205" s="199"/>
      <c r="LAU205" s="199"/>
      <c r="LAV205" s="199"/>
      <c r="LAW205" s="199"/>
      <c r="LAX205" s="199"/>
      <c r="LAY205" s="199"/>
      <c r="LAZ205" s="199"/>
      <c r="LBA205" s="199"/>
      <c r="LBB205" s="199"/>
      <c r="LBC205" s="199"/>
      <c r="LBD205" s="199"/>
      <c r="LBE205" s="199"/>
      <c r="LBF205" s="199"/>
      <c r="LBG205" s="199"/>
      <c r="LBH205" s="199"/>
      <c r="LBI205" s="199"/>
      <c r="LBJ205" s="199"/>
      <c r="LBK205" s="199"/>
      <c r="LBL205" s="199"/>
      <c r="LBM205" s="199"/>
      <c r="LBN205" s="199"/>
      <c r="LBO205" s="199"/>
      <c r="LBP205" s="199"/>
      <c r="LBQ205" s="199"/>
      <c r="LBR205" s="199"/>
      <c r="LBS205" s="199"/>
      <c r="LBT205" s="199"/>
      <c r="LBU205" s="199"/>
      <c r="LBV205" s="199"/>
      <c r="LBW205" s="199"/>
      <c r="LBX205" s="199"/>
      <c r="LBY205" s="199"/>
      <c r="LBZ205" s="199"/>
      <c r="LCA205" s="199"/>
      <c r="LCB205" s="199"/>
      <c r="LCC205" s="199"/>
      <c r="LCD205" s="199"/>
      <c r="LCE205" s="199"/>
      <c r="LCF205" s="199"/>
      <c r="LCG205" s="199"/>
      <c r="LCH205" s="199"/>
      <c r="LCI205" s="199"/>
      <c r="LCJ205" s="199"/>
      <c r="LCK205" s="199"/>
      <c r="LCL205" s="199"/>
      <c r="LCM205" s="199"/>
      <c r="LCN205" s="199"/>
      <c r="LCO205" s="199"/>
      <c r="LCP205" s="199"/>
      <c r="LCQ205" s="199"/>
      <c r="LCR205" s="199"/>
      <c r="LCS205" s="199"/>
      <c r="LCT205" s="199"/>
      <c r="LCU205" s="199"/>
      <c r="LCV205" s="199"/>
      <c r="LCW205" s="199"/>
      <c r="LCX205" s="199"/>
      <c r="LCY205" s="199"/>
      <c r="LCZ205" s="199"/>
      <c r="LDA205" s="199"/>
      <c r="LDB205" s="199"/>
      <c r="LDC205" s="199"/>
      <c r="LDD205" s="199"/>
      <c r="LDE205" s="199"/>
      <c r="LDF205" s="199"/>
      <c r="LDG205" s="199"/>
      <c r="LDH205" s="199"/>
      <c r="LDI205" s="199"/>
      <c r="LDJ205" s="199"/>
      <c r="LDK205" s="199"/>
      <c r="LDL205" s="199"/>
      <c r="LDM205" s="199"/>
      <c r="LDN205" s="199"/>
      <c r="LDO205" s="199"/>
      <c r="LDP205" s="199"/>
      <c r="LDQ205" s="199"/>
      <c r="LDR205" s="199"/>
      <c r="LDS205" s="199"/>
      <c r="LDT205" s="199"/>
      <c r="LDU205" s="199"/>
      <c r="LDV205" s="199"/>
      <c r="LDW205" s="199"/>
      <c r="LDX205" s="199"/>
      <c r="LDY205" s="199"/>
      <c r="LDZ205" s="199"/>
      <c r="LEA205" s="199"/>
      <c r="LEB205" s="199"/>
      <c r="LEC205" s="199"/>
      <c r="LED205" s="199"/>
      <c r="LEE205" s="199"/>
      <c r="LEF205" s="199"/>
      <c r="LEG205" s="199"/>
      <c r="LEH205" s="199"/>
      <c r="LEI205" s="199"/>
      <c r="LEJ205" s="199"/>
      <c r="LEK205" s="199"/>
      <c r="LEL205" s="199"/>
      <c r="LEM205" s="199"/>
      <c r="LEN205" s="199"/>
      <c r="LEO205" s="199"/>
      <c r="LEP205" s="199"/>
      <c r="LEQ205" s="199"/>
      <c r="LER205" s="199"/>
      <c r="LES205" s="199"/>
      <c r="LET205" s="199"/>
      <c r="LEU205" s="199"/>
      <c r="LEV205" s="199"/>
      <c r="LEW205" s="199"/>
      <c r="LEX205" s="199"/>
      <c r="LEY205" s="199"/>
      <c r="LEZ205" s="199"/>
      <c r="LFA205" s="199"/>
      <c r="LFB205" s="199"/>
      <c r="LFC205" s="199"/>
      <c r="LFD205" s="199"/>
      <c r="LFE205" s="199"/>
      <c r="LFF205" s="199"/>
      <c r="LFG205" s="199"/>
      <c r="LFH205" s="199"/>
      <c r="LFI205" s="199"/>
      <c r="LFJ205" s="199"/>
      <c r="LFK205" s="199"/>
      <c r="LFL205" s="199"/>
      <c r="LFM205" s="199"/>
      <c r="LFN205" s="199"/>
      <c r="LFO205" s="199"/>
      <c r="LFP205" s="199"/>
      <c r="LFQ205" s="199"/>
      <c r="LFR205" s="199"/>
      <c r="LFS205" s="199"/>
      <c r="LFT205" s="199"/>
      <c r="LFU205" s="199"/>
      <c r="LFV205" s="199"/>
      <c r="LFW205" s="199"/>
      <c r="LFX205" s="199"/>
      <c r="LFY205" s="199"/>
      <c r="LFZ205" s="199"/>
      <c r="LGA205" s="199"/>
      <c r="LGB205" s="199"/>
      <c r="LGC205" s="199"/>
      <c r="LGD205" s="199"/>
      <c r="LGE205" s="199"/>
      <c r="LGF205" s="199"/>
      <c r="LGG205" s="199"/>
      <c r="LGH205" s="199"/>
      <c r="LGI205" s="199"/>
      <c r="LGJ205" s="199"/>
      <c r="LGK205" s="199"/>
      <c r="LGL205" s="199"/>
      <c r="LGM205" s="199"/>
      <c r="LGN205" s="199"/>
      <c r="LGO205" s="199"/>
      <c r="LGP205" s="199"/>
      <c r="LGQ205" s="199"/>
      <c r="LGR205" s="199"/>
      <c r="LGS205" s="199"/>
      <c r="LGT205" s="199"/>
      <c r="LGU205" s="199"/>
      <c r="LGV205" s="199"/>
      <c r="LGW205" s="199"/>
      <c r="LGX205" s="199"/>
      <c r="LGY205" s="199"/>
      <c r="LGZ205" s="199"/>
      <c r="LHA205" s="199"/>
      <c r="LHB205" s="199"/>
      <c r="LHC205" s="199"/>
      <c r="LHD205" s="199"/>
      <c r="LHE205" s="199"/>
      <c r="LHF205" s="199"/>
      <c r="LHG205" s="199"/>
      <c r="LHH205" s="199"/>
      <c r="LHI205" s="199"/>
      <c r="LHJ205" s="199"/>
      <c r="LHK205" s="199"/>
      <c r="LHL205" s="199"/>
      <c r="LHM205" s="199"/>
      <c r="LHN205" s="199"/>
      <c r="LHO205" s="199"/>
      <c r="LHP205" s="199"/>
      <c r="LHQ205" s="199"/>
      <c r="LHR205" s="199"/>
      <c r="LHS205" s="199"/>
      <c r="LHT205" s="199"/>
      <c r="LHU205" s="199"/>
      <c r="LHV205" s="199"/>
      <c r="LHW205" s="199"/>
      <c r="LHX205" s="199"/>
      <c r="LHY205" s="199"/>
      <c r="LHZ205" s="199"/>
      <c r="LIA205" s="199"/>
      <c r="LIB205" s="199"/>
      <c r="LIC205" s="199"/>
      <c r="LID205" s="199"/>
      <c r="LIE205" s="199"/>
      <c r="LIF205" s="199"/>
      <c r="LIG205" s="199"/>
      <c r="LIH205" s="199"/>
      <c r="LII205" s="199"/>
      <c r="LIJ205" s="199"/>
      <c r="LIK205" s="199"/>
      <c r="LIL205" s="199"/>
      <c r="LIM205" s="199"/>
      <c r="LIN205" s="199"/>
      <c r="LIO205" s="199"/>
      <c r="LIP205" s="199"/>
      <c r="LIQ205" s="199"/>
      <c r="LIR205" s="199"/>
      <c r="LIS205" s="199"/>
      <c r="LIT205" s="199"/>
      <c r="LIU205" s="199"/>
      <c r="LIV205" s="199"/>
      <c r="LIW205" s="199"/>
      <c r="LIX205" s="199"/>
      <c r="LIY205" s="199"/>
      <c r="LIZ205" s="199"/>
      <c r="LJA205" s="199"/>
      <c r="LJB205" s="199"/>
      <c r="LJC205" s="199"/>
      <c r="LJD205" s="199"/>
      <c r="LJE205" s="199"/>
      <c r="LJF205" s="199"/>
      <c r="LJG205" s="199"/>
      <c r="LJH205" s="199"/>
      <c r="LJI205" s="199"/>
      <c r="LJJ205" s="199"/>
      <c r="LJK205" s="199"/>
      <c r="LJL205" s="199"/>
      <c r="LJM205" s="199"/>
      <c r="LJN205" s="199"/>
      <c r="LJO205" s="199"/>
      <c r="LJP205" s="199"/>
      <c r="LJQ205" s="199"/>
      <c r="LJR205" s="199"/>
      <c r="LJS205" s="199"/>
      <c r="LJT205" s="199"/>
      <c r="LJU205" s="199"/>
      <c r="LJV205" s="199"/>
      <c r="LJW205" s="199"/>
      <c r="LJX205" s="199"/>
      <c r="LJY205" s="199"/>
      <c r="LJZ205" s="199"/>
      <c r="LKA205" s="199"/>
      <c r="LKB205" s="199"/>
      <c r="LKC205" s="199"/>
      <c r="LKD205" s="199"/>
      <c r="LKE205" s="199"/>
      <c r="LKF205" s="199"/>
      <c r="LKG205" s="199"/>
      <c r="LKH205" s="199"/>
      <c r="LKI205" s="199"/>
      <c r="LKJ205" s="199"/>
      <c r="LKK205" s="199"/>
      <c r="LKL205" s="199"/>
      <c r="LKM205" s="199"/>
      <c r="LKN205" s="199"/>
      <c r="LKO205" s="199"/>
      <c r="LKP205" s="199"/>
      <c r="LKQ205" s="199"/>
      <c r="LKR205" s="199"/>
      <c r="LKS205" s="199"/>
      <c r="LKT205" s="199"/>
      <c r="LKU205" s="199"/>
      <c r="LKV205" s="199"/>
      <c r="LKW205" s="199"/>
      <c r="LKX205" s="199"/>
      <c r="LKY205" s="199"/>
      <c r="LKZ205" s="199"/>
      <c r="LLA205" s="199"/>
      <c r="LLB205" s="199"/>
      <c r="LLC205" s="199"/>
      <c r="LLD205" s="199"/>
      <c r="LLE205" s="199"/>
      <c r="LLF205" s="199"/>
      <c r="LLG205" s="199"/>
      <c r="LLH205" s="199"/>
      <c r="LLI205" s="199"/>
      <c r="LLJ205" s="199"/>
      <c r="LLK205" s="199"/>
      <c r="LLL205" s="199"/>
      <c r="LLM205" s="199"/>
      <c r="LLN205" s="199"/>
      <c r="LLO205" s="199"/>
      <c r="LLP205" s="199"/>
      <c r="LLQ205" s="199"/>
      <c r="LLR205" s="199"/>
      <c r="LLS205" s="199"/>
      <c r="LLT205" s="199"/>
      <c r="LLU205" s="199"/>
      <c r="LLV205" s="199"/>
      <c r="LLW205" s="199"/>
      <c r="LLX205" s="199"/>
      <c r="LLY205" s="199"/>
      <c r="LLZ205" s="199"/>
      <c r="LMA205" s="199"/>
      <c r="LMB205" s="199"/>
      <c r="LMC205" s="199"/>
      <c r="LMD205" s="199"/>
      <c r="LME205" s="199"/>
      <c r="LMF205" s="199"/>
      <c r="LMG205" s="199"/>
      <c r="LMH205" s="199"/>
      <c r="LMI205" s="199"/>
      <c r="LMJ205" s="199"/>
      <c r="LMK205" s="199"/>
      <c r="LML205" s="199"/>
      <c r="LMM205" s="199"/>
      <c r="LMN205" s="199"/>
      <c r="LMO205" s="199"/>
      <c r="LMP205" s="199"/>
      <c r="LMQ205" s="199"/>
      <c r="LMR205" s="199"/>
      <c r="LMS205" s="199"/>
      <c r="LMT205" s="199"/>
      <c r="LMU205" s="199"/>
      <c r="LMV205" s="199"/>
      <c r="LMW205" s="199"/>
      <c r="LMX205" s="199"/>
      <c r="LMY205" s="199"/>
      <c r="LMZ205" s="199"/>
      <c r="LNA205" s="199"/>
      <c r="LNB205" s="199"/>
      <c r="LNC205" s="199"/>
      <c r="LND205" s="199"/>
      <c r="LNE205" s="199"/>
      <c r="LNF205" s="199"/>
      <c r="LNG205" s="199"/>
      <c r="LNH205" s="199"/>
      <c r="LNI205" s="199"/>
      <c r="LNJ205" s="199"/>
      <c r="LNK205" s="199"/>
      <c r="LNL205" s="199"/>
      <c r="LNM205" s="199"/>
      <c r="LNN205" s="199"/>
      <c r="LNO205" s="199"/>
      <c r="LNP205" s="199"/>
      <c r="LNQ205" s="199"/>
      <c r="LNR205" s="199"/>
      <c r="LNS205" s="199"/>
      <c r="LNT205" s="199"/>
      <c r="LNU205" s="199"/>
      <c r="LNV205" s="199"/>
      <c r="LNW205" s="199"/>
      <c r="LNX205" s="199"/>
      <c r="LNY205" s="199"/>
      <c r="LNZ205" s="199"/>
      <c r="LOA205" s="199"/>
      <c r="LOB205" s="199"/>
      <c r="LOC205" s="199"/>
      <c r="LOD205" s="199"/>
      <c r="LOE205" s="199"/>
      <c r="LOF205" s="199"/>
      <c r="LOG205" s="199"/>
      <c r="LOH205" s="199"/>
      <c r="LOI205" s="199"/>
      <c r="LOJ205" s="199"/>
      <c r="LOK205" s="199"/>
      <c r="LOL205" s="199"/>
      <c r="LOM205" s="199"/>
      <c r="LON205" s="199"/>
      <c r="LOO205" s="199"/>
      <c r="LOP205" s="199"/>
      <c r="LOQ205" s="199"/>
      <c r="LOR205" s="199"/>
      <c r="LOS205" s="199"/>
      <c r="LOT205" s="199"/>
      <c r="LOU205" s="199"/>
      <c r="LOV205" s="199"/>
      <c r="LOW205" s="199"/>
      <c r="LOX205" s="199"/>
      <c r="LOY205" s="199"/>
      <c r="LOZ205" s="199"/>
      <c r="LPA205" s="199"/>
      <c r="LPB205" s="199"/>
      <c r="LPC205" s="199"/>
      <c r="LPD205" s="199"/>
      <c r="LPE205" s="199"/>
      <c r="LPF205" s="199"/>
      <c r="LPG205" s="199"/>
      <c r="LPH205" s="199"/>
      <c r="LPI205" s="199"/>
      <c r="LPJ205" s="199"/>
      <c r="LPK205" s="199"/>
      <c r="LPL205" s="199"/>
      <c r="LPM205" s="199"/>
      <c r="LPN205" s="199"/>
      <c r="LPO205" s="199"/>
      <c r="LPP205" s="199"/>
      <c r="LPQ205" s="199"/>
      <c r="LPR205" s="199"/>
      <c r="LPS205" s="199"/>
      <c r="LPT205" s="199"/>
      <c r="LPU205" s="199"/>
      <c r="LPV205" s="199"/>
      <c r="LPW205" s="199"/>
      <c r="LPX205" s="199"/>
      <c r="LPY205" s="199"/>
      <c r="LPZ205" s="199"/>
      <c r="LQA205" s="199"/>
      <c r="LQB205" s="199"/>
      <c r="LQC205" s="199"/>
      <c r="LQD205" s="199"/>
      <c r="LQE205" s="199"/>
      <c r="LQF205" s="199"/>
      <c r="LQG205" s="199"/>
      <c r="LQH205" s="199"/>
      <c r="LQI205" s="199"/>
      <c r="LQJ205" s="199"/>
      <c r="LQK205" s="199"/>
      <c r="LQL205" s="199"/>
      <c r="LQM205" s="199"/>
      <c r="LQN205" s="199"/>
      <c r="LQO205" s="199"/>
      <c r="LQP205" s="199"/>
      <c r="LQQ205" s="199"/>
      <c r="LQR205" s="199"/>
      <c r="LQS205" s="199"/>
      <c r="LQT205" s="199"/>
      <c r="LQU205" s="199"/>
      <c r="LQV205" s="199"/>
      <c r="LQW205" s="199"/>
      <c r="LQX205" s="199"/>
      <c r="LQY205" s="199"/>
      <c r="LQZ205" s="199"/>
      <c r="LRA205" s="199"/>
      <c r="LRB205" s="199"/>
      <c r="LRC205" s="199"/>
      <c r="LRD205" s="199"/>
      <c r="LRE205" s="199"/>
      <c r="LRF205" s="199"/>
      <c r="LRG205" s="199"/>
      <c r="LRH205" s="199"/>
      <c r="LRI205" s="199"/>
      <c r="LRJ205" s="199"/>
      <c r="LRK205" s="199"/>
      <c r="LRL205" s="199"/>
      <c r="LRM205" s="199"/>
      <c r="LRN205" s="199"/>
      <c r="LRO205" s="199"/>
      <c r="LRP205" s="199"/>
      <c r="LRQ205" s="199"/>
      <c r="LRR205" s="199"/>
      <c r="LRS205" s="199"/>
      <c r="LRT205" s="199"/>
      <c r="LRU205" s="199"/>
      <c r="LRV205" s="199"/>
      <c r="LRW205" s="199"/>
      <c r="LRX205" s="199"/>
      <c r="LRY205" s="199"/>
      <c r="LRZ205" s="199"/>
      <c r="LSA205" s="199"/>
      <c r="LSB205" s="199"/>
      <c r="LSC205" s="199"/>
      <c r="LSD205" s="199"/>
      <c r="LSE205" s="199"/>
      <c r="LSF205" s="199"/>
      <c r="LSG205" s="199"/>
      <c r="LSH205" s="199"/>
      <c r="LSI205" s="199"/>
      <c r="LSJ205" s="199"/>
      <c r="LSK205" s="199"/>
      <c r="LSL205" s="199"/>
      <c r="LSM205" s="199"/>
      <c r="LSN205" s="199"/>
      <c r="LSO205" s="199"/>
      <c r="LSP205" s="199"/>
      <c r="LSQ205" s="199"/>
      <c r="LSR205" s="199"/>
      <c r="LSS205" s="199"/>
      <c r="LST205" s="199"/>
      <c r="LSU205" s="199"/>
      <c r="LSV205" s="199"/>
      <c r="LSW205" s="199"/>
      <c r="LSX205" s="199"/>
      <c r="LSY205" s="199"/>
      <c r="LSZ205" s="199"/>
      <c r="LTA205" s="199"/>
      <c r="LTB205" s="199"/>
      <c r="LTC205" s="199"/>
      <c r="LTD205" s="199"/>
      <c r="LTE205" s="199"/>
      <c r="LTF205" s="199"/>
      <c r="LTG205" s="199"/>
      <c r="LTH205" s="199"/>
      <c r="LTI205" s="199"/>
      <c r="LTJ205" s="199"/>
      <c r="LTK205" s="199"/>
      <c r="LTL205" s="199"/>
      <c r="LTM205" s="199"/>
      <c r="LTN205" s="199"/>
      <c r="LTO205" s="199"/>
      <c r="LTP205" s="199"/>
      <c r="LTQ205" s="199"/>
      <c r="LTR205" s="199"/>
      <c r="LTS205" s="199"/>
      <c r="LTT205" s="199"/>
      <c r="LTU205" s="199"/>
      <c r="LTV205" s="199"/>
      <c r="LTW205" s="199"/>
      <c r="LTX205" s="199"/>
      <c r="LTY205" s="199"/>
      <c r="LTZ205" s="199"/>
      <c r="LUA205" s="199"/>
      <c r="LUB205" s="199"/>
      <c r="LUC205" s="199"/>
      <c r="LUD205" s="199"/>
      <c r="LUE205" s="199"/>
      <c r="LUF205" s="199"/>
      <c r="LUG205" s="199"/>
      <c r="LUH205" s="199"/>
      <c r="LUI205" s="199"/>
      <c r="LUJ205" s="199"/>
      <c r="LUK205" s="199"/>
      <c r="LUL205" s="199"/>
      <c r="LUM205" s="199"/>
      <c r="LUN205" s="199"/>
      <c r="LUO205" s="199"/>
      <c r="LUP205" s="199"/>
      <c r="LUQ205" s="199"/>
      <c r="LUR205" s="199"/>
      <c r="LUS205" s="199"/>
      <c r="LUT205" s="199"/>
      <c r="LUU205" s="199"/>
      <c r="LUV205" s="199"/>
      <c r="LUW205" s="199"/>
      <c r="LUX205" s="199"/>
      <c r="LUY205" s="199"/>
      <c r="LUZ205" s="199"/>
      <c r="LVA205" s="199"/>
      <c r="LVB205" s="199"/>
      <c r="LVC205" s="199"/>
      <c r="LVD205" s="199"/>
      <c r="LVE205" s="199"/>
      <c r="LVF205" s="199"/>
      <c r="LVG205" s="199"/>
      <c r="LVH205" s="199"/>
      <c r="LVI205" s="199"/>
      <c r="LVJ205" s="199"/>
      <c r="LVK205" s="199"/>
      <c r="LVL205" s="199"/>
      <c r="LVM205" s="199"/>
      <c r="LVN205" s="199"/>
      <c r="LVO205" s="199"/>
      <c r="LVP205" s="199"/>
      <c r="LVQ205" s="199"/>
      <c r="LVR205" s="199"/>
      <c r="LVS205" s="199"/>
      <c r="LVT205" s="199"/>
      <c r="LVU205" s="199"/>
      <c r="LVV205" s="199"/>
      <c r="LVW205" s="199"/>
      <c r="LVX205" s="199"/>
      <c r="LVY205" s="199"/>
      <c r="LVZ205" s="199"/>
      <c r="LWA205" s="199"/>
      <c r="LWB205" s="199"/>
      <c r="LWC205" s="199"/>
      <c r="LWD205" s="199"/>
      <c r="LWE205" s="199"/>
      <c r="LWF205" s="199"/>
      <c r="LWG205" s="199"/>
      <c r="LWH205" s="199"/>
      <c r="LWI205" s="199"/>
      <c r="LWJ205" s="199"/>
      <c r="LWK205" s="199"/>
      <c r="LWL205" s="199"/>
      <c r="LWM205" s="199"/>
      <c r="LWN205" s="199"/>
      <c r="LWO205" s="199"/>
      <c r="LWP205" s="199"/>
      <c r="LWQ205" s="199"/>
      <c r="LWR205" s="199"/>
      <c r="LWS205" s="199"/>
      <c r="LWT205" s="199"/>
      <c r="LWU205" s="199"/>
      <c r="LWV205" s="199"/>
      <c r="LWW205" s="199"/>
      <c r="LWX205" s="199"/>
      <c r="LWY205" s="199"/>
      <c r="LWZ205" s="199"/>
      <c r="LXA205" s="199"/>
      <c r="LXB205" s="199"/>
      <c r="LXC205" s="199"/>
      <c r="LXD205" s="199"/>
      <c r="LXE205" s="199"/>
      <c r="LXF205" s="199"/>
      <c r="LXG205" s="199"/>
      <c r="LXH205" s="199"/>
      <c r="LXI205" s="199"/>
      <c r="LXJ205" s="199"/>
      <c r="LXK205" s="199"/>
      <c r="LXL205" s="199"/>
      <c r="LXM205" s="199"/>
      <c r="LXN205" s="199"/>
      <c r="LXO205" s="199"/>
      <c r="LXP205" s="199"/>
      <c r="LXQ205" s="199"/>
      <c r="LXR205" s="199"/>
      <c r="LXS205" s="199"/>
      <c r="LXT205" s="199"/>
      <c r="LXU205" s="199"/>
      <c r="LXV205" s="199"/>
      <c r="LXW205" s="199"/>
      <c r="LXX205" s="199"/>
      <c r="LXY205" s="199"/>
      <c r="LXZ205" s="199"/>
      <c r="LYA205" s="199"/>
      <c r="LYB205" s="199"/>
      <c r="LYC205" s="199"/>
      <c r="LYD205" s="199"/>
      <c r="LYE205" s="199"/>
      <c r="LYF205" s="199"/>
      <c r="LYG205" s="199"/>
      <c r="LYH205" s="199"/>
      <c r="LYI205" s="199"/>
      <c r="LYJ205" s="199"/>
      <c r="LYK205" s="199"/>
      <c r="LYL205" s="199"/>
      <c r="LYM205" s="199"/>
      <c r="LYN205" s="199"/>
      <c r="LYO205" s="199"/>
      <c r="LYP205" s="199"/>
      <c r="LYQ205" s="199"/>
      <c r="LYR205" s="199"/>
      <c r="LYS205" s="199"/>
      <c r="LYT205" s="199"/>
      <c r="LYU205" s="199"/>
      <c r="LYV205" s="199"/>
      <c r="LYW205" s="199"/>
      <c r="LYX205" s="199"/>
      <c r="LYY205" s="199"/>
      <c r="LYZ205" s="199"/>
      <c r="LZA205" s="199"/>
      <c r="LZB205" s="199"/>
      <c r="LZC205" s="199"/>
      <c r="LZD205" s="199"/>
      <c r="LZE205" s="199"/>
      <c r="LZF205" s="199"/>
      <c r="LZG205" s="199"/>
      <c r="LZH205" s="199"/>
      <c r="LZI205" s="199"/>
      <c r="LZJ205" s="199"/>
      <c r="LZK205" s="199"/>
      <c r="LZL205" s="199"/>
      <c r="LZM205" s="199"/>
      <c r="LZN205" s="199"/>
      <c r="LZO205" s="199"/>
      <c r="LZP205" s="199"/>
      <c r="LZQ205" s="199"/>
      <c r="LZR205" s="199"/>
      <c r="LZS205" s="199"/>
      <c r="LZT205" s="199"/>
      <c r="LZU205" s="199"/>
      <c r="LZV205" s="199"/>
      <c r="LZW205" s="199"/>
      <c r="LZX205" s="199"/>
      <c r="LZY205" s="199"/>
      <c r="LZZ205" s="199"/>
      <c r="MAA205" s="199"/>
      <c r="MAB205" s="199"/>
      <c r="MAC205" s="199"/>
      <c r="MAD205" s="199"/>
      <c r="MAE205" s="199"/>
      <c r="MAF205" s="199"/>
      <c r="MAG205" s="199"/>
      <c r="MAH205" s="199"/>
      <c r="MAI205" s="199"/>
      <c r="MAJ205" s="199"/>
      <c r="MAK205" s="199"/>
      <c r="MAL205" s="199"/>
      <c r="MAM205" s="199"/>
      <c r="MAN205" s="199"/>
      <c r="MAO205" s="199"/>
      <c r="MAP205" s="199"/>
      <c r="MAQ205" s="199"/>
      <c r="MAR205" s="199"/>
      <c r="MAS205" s="199"/>
      <c r="MAT205" s="199"/>
      <c r="MAU205" s="199"/>
      <c r="MAV205" s="199"/>
      <c r="MAW205" s="199"/>
      <c r="MAX205" s="199"/>
      <c r="MAY205" s="199"/>
      <c r="MAZ205" s="199"/>
      <c r="MBA205" s="199"/>
      <c r="MBB205" s="199"/>
      <c r="MBC205" s="199"/>
      <c r="MBD205" s="199"/>
      <c r="MBE205" s="199"/>
      <c r="MBF205" s="199"/>
      <c r="MBG205" s="199"/>
      <c r="MBH205" s="199"/>
      <c r="MBI205" s="199"/>
      <c r="MBJ205" s="199"/>
      <c r="MBK205" s="199"/>
      <c r="MBL205" s="199"/>
      <c r="MBM205" s="199"/>
      <c r="MBN205" s="199"/>
      <c r="MBO205" s="199"/>
      <c r="MBP205" s="199"/>
      <c r="MBQ205" s="199"/>
      <c r="MBR205" s="199"/>
      <c r="MBS205" s="199"/>
      <c r="MBT205" s="199"/>
      <c r="MBU205" s="199"/>
      <c r="MBV205" s="199"/>
      <c r="MBW205" s="199"/>
      <c r="MBX205" s="199"/>
      <c r="MBY205" s="199"/>
      <c r="MBZ205" s="199"/>
      <c r="MCA205" s="199"/>
      <c r="MCB205" s="199"/>
      <c r="MCC205" s="199"/>
      <c r="MCD205" s="199"/>
      <c r="MCE205" s="199"/>
      <c r="MCF205" s="199"/>
      <c r="MCG205" s="199"/>
      <c r="MCH205" s="199"/>
      <c r="MCI205" s="199"/>
      <c r="MCJ205" s="199"/>
      <c r="MCK205" s="199"/>
      <c r="MCL205" s="199"/>
      <c r="MCM205" s="199"/>
      <c r="MCN205" s="199"/>
      <c r="MCO205" s="199"/>
      <c r="MCP205" s="199"/>
      <c r="MCQ205" s="199"/>
      <c r="MCR205" s="199"/>
      <c r="MCS205" s="199"/>
      <c r="MCT205" s="199"/>
      <c r="MCU205" s="199"/>
      <c r="MCV205" s="199"/>
      <c r="MCW205" s="199"/>
      <c r="MCX205" s="199"/>
      <c r="MCY205" s="199"/>
      <c r="MCZ205" s="199"/>
      <c r="MDA205" s="199"/>
      <c r="MDB205" s="199"/>
      <c r="MDC205" s="199"/>
      <c r="MDD205" s="199"/>
      <c r="MDE205" s="199"/>
      <c r="MDF205" s="199"/>
      <c r="MDG205" s="199"/>
      <c r="MDH205" s="199"/>
      <c r="MDI205" s="199"/>
      <c r="MDJ205" s="199"/>
      <c r="MDK205" s="199"/>
      <c r="MDL205" s="199"/>
      <c r="MDM205" s="199"/>
      <c r="MDN205" s="199"/>
      <c r="MDO205" s="199"/>
      <c r="MDP205" s="199"/>
      <c r="MDQ205" s="199"/>
      <c r="MDR205" s="199"/>
      <c r="MDS205" s="199"/>
      <c r="MDT205" s="199"/>
      <c r="MDU205" s="199"/>
      <c r="MDV205" s="199"/>
      <c r="MDW205" s="199"/>
      <c r="MDX205" s="199"/>
      <c r="MDY205" s="199"/>
      <c r="MDZ205" s="199"/>
      <c r="MEA205" s="199"/>
      <c r="MEB205" s="199"/>
      <c r="MEC205" s="199"/>
      <c r="MED205" s="199"/>
      <c r="MEE205" s="199"/>
      <c r="MEF205" s="199"/>
      <c r="MEG205" s="199"/>
      <c r="MEH205" s="199"/>
      <c r="MEI205" s="199"/>
      <c r="MEJ205" s="199"/>
      <c r="MEK205" s="199"/>
      <c r="MEL205" s="199"/>
      <c r="MEM205" s="199"/>
      <c r="MEN205" s="199"/>
      <c r="MEO205" s="199"/>
      <c r="MEP205" s="199"/>
      <c r="MEQ205" s="199"/>
      <c r="MER205" s="199"/>
      <c r="MES205" s="199"/>
      <c r="MET205" s="199"/>
      <c r="MEU205" s="199"/>
      <c r="MEV205" s="199"/>
      <c r="MEW205" s="199"/>
      <c r="MEX205" s="199"/>
      <c r="MEY205" s="199"/>
      <c r="MEZ205" s="199"/>
      <c r="MFA205" s="199"/>
      <c r="MFB205" s="199"/>
      <c r="MFC205" s="199"/>
      <c r="MFD205" s="199"/>
      <c r="MFE205" s="199"/>
      <c r="MFF205" s="199"/>
      <c r="MFG205" s="199"/>
      <c r="MFH205" s="199"/>
      <c r="MFI205" s="199"/>
      <c r="MFJ205" s="199"/>
      <c r="MFK205" s="199"/>
      <c r="MFL205" s="199"/>
      <c r="MFM205" s="199"/>
      <c r="MFN205" s="199"/>
      <c r="MFO205" s="199"/>
      <c r="MFP205" s="199"/>
      <c r="MFQ205" s="199"/>
      <c r="MFR205" s="199"/>
      <c r="MFS205" s="199"/>
      <c r="MFT205" s="199"/>
      <c r="MFU205" s="199"/>
      <c r="MFV205" s="199"/>
      <c r="MFW205" s="199"/>
      <c r="MFX205" s="199"/>
      <c r="MFY205" s="199"/>
      <c r="MFZ205" s="199"/>
      <c r="MGA205" s="199"/>
      <c r="MGB205" s="199"/>
      <c r="MGC205" s="199"/>
      <c r="MGD205" s="199"/>
      <c r="MGE205" s="199"/>
      <c r="MGF205" s="199"/>
      <c r="MGG205" s="199"/>
      <c r="MGH205" s="199"/>
      <c r="MGI205" s="199"/>
      <c r="MGJ205" s="199"/>
      <c r="MGK205" s="199"/>
      <c r="MGL205" s="199"/>
      <c r="MGM205" s="199"/>
      <c r="MGN205" s="199"/>
      <c r="MGO205" s="199"/>
      <c r="MGP205" s="199"/>
      <c r="MGQ205" s="199"/>
      <c r="MGR205" s="199"/>
      <c r="MGS205" s="199"/>
      <c r="MGT205" s="199"/>
      <c r="MGU205" s="199"/>
      <c r="MGV205" s="199"/>
      <c r="MGW205" s="199"/>
      <c r="MGX205" s="199"/>
      <c r="MGY205" s="199"/>
      <c r="MGZ205" s="199"/>
      <c r="MHA205" s="199"/>
      <c r="MHB205" s="199"/>
      <c r="MHC205" s="199"/>
      <c r="MHD205" s="199"/>
      <c r="MHE205" s="199"/>
      <c r="MHF205" s="199"/>
      <c r="MHG205" s="199"/>
      <c r="MHH205" s="199"/>
      <c r="MHI205" s="199"/>
      <c r="MHJ205" s="199"/>
      <c r="MHK205" s="199"/>
      <c r="MHL205" s="199"/>
      <c r="MHM205" s="199"/>
      <c r="MHN205" s="199"/>
      <c r="MHO205" s="199"/>
      <c r="MHP205" s="199"/>
      <c r="MHQ205" s="199"/>
      <c r="MHR205" s="199"/>
      <c r="MHS205" s="199"/>
      <c r="MHT205" s="199"/>
      <c r="MHU205" s="199"/>
      <c r="MHV205" s="199"/>
      <c r="MHW205" s="199"/>
      <c r="MHX205" s="199"/>
      <c r="MHY205" s="199"/>
      <c r="MHZ205" s="199"/>
      <c r="MIA205" s="199"/>
      <c r="MIB205" s="199"/>
      <c r="MIC205" s="199"/>
      <c r="MID205" s="199"/>
      <c r="MIE205" s="199"/>
      <c r="MIF205" s="199"/>
      <c r="MIG205" s="199"/>
      <c r="MIH205" s="199"/>
      <c r="MII205" s="199"/>
      <c r="MIJ205" s="199"/>
      <c r="MIK205" s="199"/>
      <c r="MIL205" s="199"/>
      <c r="MIM205" s="199"/>
      <c r="MIN205" s="199"/>
      <c r="MIO205" s="199"/>
      <c r="MIP205" s="199"/>
      <c r="MIQ205" s="199"/>
      <c r="MIR205" s="199"/>
      <c r="MIS205" s="199"/>
      <c r="MIT205" s="199"/>
      <c r="MIU205" s="199"/>
      <c r="MIV205" s="199"/>
      <c r="MIW205" s="199"/>
      <c r="MIX205" s="199"/>
      <c r="MIY205" s="199"/>
      <c r="MIZ205" s="199"/>
      <c r="MJA205" s="199"/>
      <c r="MJB205" s="199"/>
      <c r="MJC205" s="199"/>
      <c r="MJD205" s="199"/>
      <c r="MJE205" s="199"/>
      <c r="MJF205" s="199"/>
      <c r="MJG205" s="199"/>
      <c r="MJH205" s="199"/>
      <c r="MJI205" s="199"/>
      <c r="MJJ205" s="199"/>
      <c r="MJK205" s="199"/>
      <c r="MJL205" s="199"/>
      <c r="MJM205" s="199"/>
      <c r="MJN205" s="199"/>
      <c r="MJO205" s="199"/>
      <c r="MJP205" s="199"/>
      <c r="MJQ205" s="199"/>
      <c r="MJR205" s="199"/>
      <c r="MJS205" s="199"/>
      <c r="MJT205" s="199"/>
      <c r="MJU205" s="199"/>
      <c r="MJV205" s="199"/>
      <c r="MJW205" s="199"/>
      <c r="MJX205" s="199"/>
      <c r="MJY205" s="199"/>
      <c r="MJZ205" s="199"/>
      <c r="MKA205" s="199"/>
      <c r="MKB205" s="199"/>
      <c r="MKC205" s="199"/>
      <c r="MKD205" s="199"/>
      <c r="MKE205" s="199"/>
      <c r="MKF205" s="199"/>
      <c r="MKG205" s="199"/>
      <c r="MKH205" s="199"/>
      <c r="MKI205" s="199"/>
      <c r="MKJ205" s="199"/>
      <c r="MKK205" s="199"/>
      <c r="MKL205" s="199"/>
      <c r="MKM205" s="199"/>
      <c r="MKN205" s="199"/>
      <c r="MKO205" s="199"/>
      <c r="MKP205" s="199"/>
      <c r="MKQ205" s="199"/>
      <c r="MKR205" s="199"/>
      <c r="MKS205" s="199"/>
      <c r="MKT205" s="199"/>
      <c r="MKU205" s="199"/>
      <c r="MKV205" s="199"/>
      <c r="MKW205" s="199"/>
      <c r="MKX205" s="199"/>
      <c r="MKY205" s="199"/>
      <c r="MKZ205" s="199"/>
      <c r="MLA205" s="199"/>
      <c r="MLB205" s="199"/>
      <c r="MLC205" s="199"/>
      <c r="MLD205" s="199"/>
      <c r="MLE205" s="199"/>
      <c r="MLF205" s="199"/>
      <c r="MLG205" s="199"/>
      <c r="MLH205" s="199"/>
      <c r="MLI205" s="199"/>
      <c r="MLJ205" s="199"/>
      <c r="MLK205" s="199"/>
      <c r="MLL205" s="199"/>
      <c r="MLM205" s="199"/>
      <c r="MLN205" s="199"/>
      <c r="MLO205" s="199"/>
      <c r="MLP205" s="199"/>
      <c r="MLQ205" s="199"/>
      <c r="MLR205" s="199"/>
      <c r="MLS205" s="199"/>
      <c r="MLT205" s="199"/>
      <c r="MLU205" s="199"/>
      <c r="MLV205" s="199"/>
      <c r="MLW205" s="199"/>
      <c r="MLX205" s="199"/>
      <c r="MLY205" s="199"/>
      <c r="MLZ205" s="199"/>
      <c r="MMA205" s="199"/>
      <c r="MMB205" s="199"/>
      <c r="MMC205" s="199"/>
      <c r="MMD205" s="199"/>
      <c r="MME205" s="199"/>
      <c r="MMF205" s="199"/>
      <c r="MMG205" s="199"/>
      <c r="MMH205" s="199"/>
      <c r="MMI205" s="199"/>
      <c r="MMJ205" s="199"/>
      <c r="MMK205" s="199"/>
      <c r="MML205" s="199"/>
      <c r="MMM205" s="199"/>
      <c r="MMN205" s="199"/>
      <c r="MMO205" s="199"/>
      <c r="MMP205" s="199"/>
      <c r="MMQ205" s="199"/>
      <c r="MMR205" s="199"/>
      <c r="MMS205" s="199"/>
      <c r="MMT205" s="199"/>
      <c r="MMU205" s="199"/>
      <c r="MMV205" s="199"/>
      <c r="MMW205" s="199"/>
      <c r="MMX205" s="199"/>
      <c r="MMY205" s="199"/>
      <c r="MMZ205" s="199"/>
      <c r="MNA205" s="199"/>
      <c r="MNB205" s="199"/>
      <c r="MNC205" s="199"/>
      <c r="MND205" s="199"/>
      <c r="MNE205" s="199"/>
      <c r="MNF205" s="199"/>
      <c r="MNG205" s="199"/>
      <c r="MNH205" s="199"/>
      <c r="MNI205" s="199"/>
      <c r="MNJ205" s="199"/>
      <c r="MNK205" s="199"/>
      <c r="MNL205" s="199"/>
      <c r="MNM205" s="199"/>
      <c r="MNN205" s="199"/>
      <c r="MNO205" s="199"/>
      <c r="MNP205" s="199"/>
      <c r="MNQ205" s="199"/>
      <c r="MNR205" s="199"/>
      <c r="MNS205" s="199"/>
      <c r="MNT205" s="199"/>
      <c r="MNU205" s="199"/>
      <c r="MNV205" s="199"/>
      <c r="MNW205" s="199"/>
      <c r="MNX205" s="199"/>
      <c r="MNY205" s="199"/>
      <c r="MNZ205" s="199"/>
      <c r="MOA205" s="199"/>
      <c r="MOB205" s="199"/>
      <c r="MOC205" s="199"/>
      <c r="MOD205" s="199"/>
      <c r="MOE205" s="199"/>
      <c r="MOF205" s="199"/>
      <c r="MOG205" s="199"/>
      <c r="MOH205" s="199"/>
      <c r="MOI205" s="199"/>
      <c r="MOJ205" s="199"/>
      <c r="MOK205" s="199"/>
      <c r="MOL205" s="199"/>
      <c r="MOM205" s="199"/>
      <c r="MON205" s="199"/>
      <c r="MOO205" s="199"/>
      <c r="MOP205" s="199"/>
      <c r="MOQ205" s="199"/>
      <c r="MOR205" s="199"/>
      <c r="MOS205" s="199"/>
      <c r="MOT205" s="199"/>
      <c r="MOU205" s="199"/>
      <c r="MOV205" s="199"/>
      <c r="MOW205" s="199"/>
      <c r="MOX205" s="199"/>
      <c r="MOY205" s="199"/>
      <c r="MOZ205" s="199"/>
      <c r="MPA205" s="199"/>
      <c r="MPB205" s="199"/>
      <c r="MPC205" s="199"/>
      <c r="MPD205" s="199"/>
      <c r="MPE205" s="199"/>
      <c r="MPF205" s="199"/>
      <c r="MPG205" s="199"/>
      <c r="MPH205" s="199"/>
      <c r="MPI205" s="199"/>
      <c r="MPJ205" s="199"/>
      <c r="MPK205" s="199"/>
      <c r="MPL205" s="199"/>
      <c r="MPM205" s="199"/>
      <c r="MPN205" s="199"/>
      <c r="MPO205" s="199"/>
      <c r="MPP205" s="199"/>
      <c r="MPQ205" s="199"/>
      <c r="MPR205" s="199"/>
      <c r="MPS205" s="199"/>
      <c r="MPT205" s="199"/>
      <c r="MPU205" s="199"/>
      <c r="MPV205" s="199"/>
      <c r="MPW205" s="199"/>
      <c r="MPX205" s="199"/>
      <c r="MPY205" s="199"/>
      <c r="MPZ205" s="199"/>
      <c r="MQA205" s="199"/>
      <c r="MQB205" s="199"/>
      <c r="MQC205" s="199"/>
      <c r="MQD205" s="199"/>
      <c r="MQE205" s="199"/>
      <c r="MQF205" s="199"/>
      <c r="MQG205" s="199"/>
      <c r="MQH205" s="199"/>
      <c r="MQI205" s="199"/>
      <c r="MQJ205" s="199"/>
      <c r="MQK205" s="199"/>
      <c r="MQL205" s="199"/>
      <c r="MQM205" s="199"/>
      <c r="MQN205" s="199"/>
      <c r="MQO205" s="199"/>
      <c r="MQP205" s="199"/>
      <c r="MQQ205" s="199"/>
      <c r="MQR205" s="199"/>
      <c r="MQS205" s="199"/>
      <c r="MQT205" s="199"/>
      <c r="MQU205" s="199"/>
      <c r="MQV205" s="199"/>
      <c r="MQW205" s="199"/>
      <c r="MQX205" s="199"/>
      <c r="MQY205" s="199"/>
      <c r="MQZ205" s="199"/>
      <c r="MRA205" s="199"/>
      <c r="MRB205" s="199"/>
      <c r="MRC205" s="199"/>
      <c r="MRD205" s="199"/>
      <c r="MRE205" s="199"/>
      <c r="MRF205" s="199"/>
      <c r="MRG205" s="199"/>
      <c r="MRH205" s="199"/>
      <c r="MRI205" s="199"/>
      <c r="MRJ205" s="199"/>
      <c r="MRK205" s="199"/>
      <c r="MRL205" s="199"/>
      <c r="MRM205" s="199"/>
      <c r="MRN205" s="199"/>
      <c r="MRO205" s="199"/>
      <c r="MRP205" s="199"/>
      <c r="MRQ205" s="199"/>
      <c r="MRR205" s="199"/>
      <c r="MRS205" s="199"/>
      <c r="MRT205" s="199"/>
      <c r="MRU205" s="199"/>
      <c r="MRV205" s="199"/>
      <c r="MRW205" s="199"/>
      <c r="MRX205" s="199"/>
      <c r="MRY205" s="199"/>
      <c r="MRZ205" s="199"/>
      <c r="MSA205" s="199"/>
      <c r="MSB205" s="199"/>
      <c r="MSC205" s="199"/>
      <c r="MSD205" s="199"/>
      <c r="MSE205" s="199"/>
      <c r="MSF205" s="199"/>
      <c r="MSG205" s="199"/>
      <c r="MSH205" s="199"/>
      <c r="MSI205" s="199"/>
      <c r="MSJ205" s="199"/>
      <c r="MSK205" s="199"/>
      <c r="MSL205" s="199"/>
      <c r="MSM205" s="199"/>
      <c r="MSN205" s="199"/>
      <c r="MSO205" s="199"/>
      <c r="MSP205" s="199"/>
      <c r="MSQ205" s="199"/>
      <c r="MSR205" s="199"/>
      <c r="MSS205" s="199"/>
      <c r="MST205" s="199"/>
      <c r="MSU205" s="199"/>
      <c r="MSV205" s="199"/>
      <c r="MSW205" s="199"/>
      <c r="MSX205" s="199"/>
      <c r="MSY205" s="199"/>
      <c r="MSZ205" s="199"/>
      <c r="MTA205" s="199"/>
      <c r="MTB205" s="199"/>
      <c r="MTC205" s="199"/>
      <c r="MTD205" s="199"/>
      <c r="MTE205" s="199"/>
      <c r="MTF205" s="199"/>
      <c r="MTG205" s="199"/>
      <c r="MTH205" s="199"/>
      <c r="MTI205" s="199"/>
      <c r="MTJ205" s="199"/>
      <c r="MTK205" s="199"/>
      <c r="MTL205" s="199"/>
      <c r="MTM205" s="199"/>
      <c r="MTN205" s="199"/>
      <c r="MTO205" s="199"/>
      <c r="MTP205" s="199"/>
      <c r="MTQ205" s="199"/>
      <c r="MTR205" s="199"/>
      <c r="MTS205" s="199"/>
      <c r="MTT205" s="199"/>
      <c r="MTU205" s="199"/>
      <c r="MTV205" s="199"/>
      <c r="MTW205" s="199"/>
      <c r="MTX205" s="199"/>
      <c r="MTY205" s="199"/>
      <c r="MTZ205" s="199"/>
      <c r="MUA205" s="199"/>
      <c r="MUB205" s="199"/>
      <c r="MUC205" s="199"/>
      <c r="MUD205" s="199"/>
      <c r="MUE205" s="199"/>
      <c r="MUF205" s="199"/>
      <c r="MUG205" s="199"/>
      <c r="MUH205" s="199"/>
      <c r="MUI205" s="199"/>
      <c r="MUJ205" s="199"/>
      <c r="MUK205" s="199"/>
      <c r="MUL205" s="199"/>
      <c r="MUM205" s="199"/>
      <c r="MUN205" s="199"/>
      <c r="MUO205" s="199"/>
      <c r="MUP205" s="199"/>
      <c r="MUQ205" s="199"/>
      <c r="MUR205" s="199"/>
      <c r="MUS205" s="199"/>
      <c r="MUT205" s="199"/>
      <c r="MUU205" s="199"/>
      <c r="MUV205" s="199"/>
      <c r="MUW205" s="199"/>
      <c r="MUX205" s="199"/>
      <c r="MUY205" s="199"/>
      <c r="MUZ205" s="199"/>
      <c r="MVA205" s="199"/>
      <c r="MVB205" s="199"/>
      <c r="MVC205" s="199"/>
      <c r="MVD205" s="199"/>
      <c r="MVE205" s="199"/>
      <c r="MVF205" s="199"/>
      <c r="MVG205" s="199"/>
      <c r="MVH205" s="199"/>
      <c r="MVI205" s="199"/>
      <c r="MVJ205" s="199"/>
      <c r="MVK205" s="199"/>
      <c r="MVL205" s="199"/>
      <c r="MVM205" s="199"/>
      <c r="MVN205" s="199"/>
      <c r="MVO205" s="199"/>
      <c r="MVP205" s="199"/>
      <c r="MVQ205" s="199"/>
      <c r="MVR205" s="199"/>
      <c r="MVS205" s="199"/>
      <c r="MVT205" s="199"/>
      <c r="MVU205" s="199"/>
      <c r="MVV205" s="199"/>
      <c r="MVW205" s="199"/>
      <c r="MVX205" s="199"/>
      <c r="MVY205" s="199"/>
      <c r="MVZ205" s="199"/>
      <c r="MWA205" s="199"/>
      <c r="MWB205" s="199"/>
      <c r="MWC205" s="199"/>
      <c r="MWD205" s="199"/>
      <c r="MWE205" s="199"/>
      <c r="MWF205" s="199"/>
      <c r="MWG205" s="199"/>
      <c r="MWH205" s="199"/>
      <c r="MWI205" s="199"/>
      <c r="MWJ205" s="199"/>
      <c r="MWK205" s="199"/>
      <c r="MWL205" s="199"/>
      <c r="MWM205" s="199"/>
      <c r="MWN205" s="199"/>
      <c r="MWO205" s="199"/>
      <c r="MWP205" s="199"/>
      <c r="MWQ205" s="199"/>
      <c r="MWR205" s="199"/>
      <c r="MWS205" s="199"/>
      <c r="MWT205" s="199"/>
      <c r="MWU205" s="199"/>
      <c r="MWV205" s="199"/>
      <c r="MWW205" s="199"/>
      <c r="MWX205" s="199"/>
      <c r="MWY205" s="199"/>
      <c r="MWZ205" s="199"/>
      <c r="MXA205" s="199"/>
      <c r="MXB205" s="199"/>
      <c r="MXC205" s="199"/>
      <c r="MXD205" s="199"/>
      <c r="MXE205" s="199"/>
      <c r="MXF205" s="199"/>
      <c r="MXG205" s="199"/>
      <c r="MXH205" s="199"/>
      <c r="MXI205" s="199"/>
      <c r="MXJ205" s="199"/>
      <c r="MXK205" s="199"/>
      <c r="MXL205" s="199"/>
      <c r="MXM205" s="199"/>
      <c r="MXN205" s="199"/>
      <c r="MXO205" s="199"/>
      <c r="MXP205" s="199"/>
      <c r="MXQ205" s="199"/>
      <c r="MXR205" s="199"/>
      <c r="MXS205" s="199"/>
      <c r="MXT205" s="199"/>
      <c r="MXU205" s="199"/>
      <c r="MXV205" s="199"/>
      <c r="MXW205" s="199"/>
      <c r="MXX205" s="199"/>
      <c r="MXY205" s="199"/>
      <c r="MXZ205" s="199"/>
      <c r="MYA205" s="199"/>
      <c r="MYB205" s="199"/>
      <c r="MYC205" s="199"/>
      <c r="MYD205" s="199"/>
      <c r="MYE205" s="199"/>
      <c r="MYF205" s="199"/>
      <c r="MYG205" s="199"/>
      <c r="MYH205" s="199"/>
      <c r="MYI205" s="199"/>
      <c r="MYJ205" s="199"/>
      <c r="MYK205" s="199"/>
      <c r="MYL205" s="199"/>
      <c r="MYM205" s="199"/>
      <c r="MYN205" s="199"/>
      <c r="MYO205" s="199"/>
      <c r="MYP205" s="199"/>
      <c r="MYQ205" s="199"/>
      <c r="MYR205" s="199"/>
      <c r="MYS205" s="199"/>
      <c r="MYT205" s="199"/>
      <c r="MYU205" s="199"/>
      <c r="MYV205" s="199"/>
      <c r="MYW205" s="199"/>
      <c r="MYX205" s="199"/>
      <c r="MYY205" s="199"/>
      <c r="MYZ205" s="199"/>
      <c r="MZA205" s="199"/>
      <c r="MZB205" s="199"/>
      <c r="MZC205" s="199"/>
      <c r="MZD205" s="199"/>
      <c r="MZE205" s="199"/>
      <c r="MZF205" s="199"/>
      <c r="MZG205" s="199"/>
      <c r="MZH205" s="199"/>
      <c r="MZI205" s="199"/>
      <c r="MZJ205" s="199"/>
      <c r="MZK205" s="199"/>
      <c r="MZL205" s="199"/>
      <c r="MZM205" s="199"/>
      <c r="MZN205" s="199"/>
      <c r="MZO205" s="199"/>
      <c r="MZP205" s="199"/>
      <c r="MZQ205" s="199"/>
      <c r="MZR205" s="199"/>
      <c r="MZS205" s="199"/>
      <c r="MZT205" s="199"/>
      <c r="MZU205" s="199"/>
      <c r="MZV205" s="199"/>
      <c r="MZW205" s="199"/>
      <c r="MZX205" s="199"/>
      <c r="MZY205" s="199"/>
      <c r="MZZ205" s="199"/>
      <c r="NAA205" s="199"/>
      <c r="NAB205" s="199"/>
      <c r="NAC205" s="199"/>
      <c r="NAD205" s="199"/>
      <c r="NAE205" s="199"/>
      <c r="NAF205" s="199"/>
      <c r="NAG205" s="199"/>
      <c r="NAH205" s="199"/>
      <c r="NAI205" s="199"/>
      <c r="NAJ205" s="199"/>
      <c r="NAK205" s="199"/>
      <c r="NAL205" s="199"/>
      <c r="NAM205" s="199"/>
      <c r="NAN205" s="199"/>
      <c r="NAO205" s="199"/>
      <c r="NAP205" s="199"/>
      <c r="NAQ205" s="199"/>
      <c r="NAR205" s="199"/>
      <c r="NAS205" s="199"/>
      <c r="NAT205" s="199"/>
      <c r="NAU205" s="199"/>
      <c r="NAV205" s="199"/>
      <c r="NAW205" s="199"/>
      <c r="NAX205" s="199"/>
      <c r="NAY205" s="199"/>
      <c r="NAZ205" s="199"/>
      <c r="NBA205" s="199"/>
      <c r="NBB205" s="199"/>
      <c r="NBC205" s="199"/>
      <c r="NBD205" s="199"/>
      <c r="NBE205" s="199"/>
      <c r="NBF205" s="199"/>
      <c r="NBG205" s="199"/>
      <c r="NBH205" s="199"/>
      <c r="NBI205" s="199"/>
      <c r="NBJ205" s="199"/>
      <c r="NBK205" s="199"/>
      <c r="NBL205" s="199"/>
      <c r="NBM205" s="199"/>
      <c r="NBN205" s="199"/>
      <c r="NBO205" s="199"/>
      <c r="NBP205" s="199"/>
      <c r="NBQ205" s="199"/>
      <c r="NBR205" s="199"/>
      <c r="NBS205" s="199"/>
      <c r="NBT205" s="199"/>
      <c r="NBU205" s="199"/>
      <c r="NBV205" s="199"/>
      <c r="NBW205" s="199"/>
      <c r="NBX205" s="199"/>
      <c r="NBY205" s="199"/>
      <c r="NBZ205" s="199"/>
      <c r="NCA205" s="199"/>
      <c r="NCB205" s="199"/>
      <c r="NCC205" s="199"/>
      <c r="NCD205" s="199"/>
      <c r="NCE205" s="199"/>
      <c r="NCF205" s="199"/>
      <c r="NCG205" s="199"/>
      <c r="NCH205" s="199"/>
      <c r="NCI205" s="199"/>
      <c r="NCJ205" s="199"/>
      <c r="NCK205" s="199"/>
      <c r="NCL205" s="199"/>
      <c r="NCM205" s="199"/>
      <c r="NCN205" s="199"/>
      <c r="NCO205" s="199"/>
      <c r="NCP205" s="199"/>
      <c r="NCQ205" s="199"/>
      <c r="NCR205" s="199"/>
      <c r="NCS205" s="199"/>
      <c r="NCT205" s="199"/>
      <c r="NCU205" s="199"/>
      <c r="NCV205" s="199"/>
      <c r="NCW205" s="199"/>
      <c r="NCX205" s="199"/>
      <c r="NCY205" s="199"/>
      <c r="NCZ205" s="199"/>
      <c r="NDA205" s="199"/>
      <c r="NDB205" s="199"/>
      <c r="NDC205" s="199"/>
      <c r="NDD205" s="199"/>
      <c r="NDE205" s="199"/>
      <c r="NDF205" s="199"/>
      <c r="NDG205" s="199"/>
      <c r="NDH205" s="199"/>
      <c r="NDI205" s="199"/>
      <c r="NDJ205" s="199"/>
      <c r="NDK205" s="199"/>
      <c r="NDL205" s="199"/>
      <c r="NDM205" s="199"/>
      <c r="NDN205" s="199"/>
      <c r="NDO205" s="199"/>
      <c r="NDP205" s="199"/>
      <c r="NDQ205" s="199"/>
      <c r="NDR205" s="199"/>
      <c r="NDS205" s="199"/>
      <c r="NDT205" s="199"/>
      <c r="NDU205" s="199"/>
      <c r="NDV205" s="199"/>
      <c r="NDW205" s="199"/>
      <c r="NDX205" s="199"/>
      <c r="NDY205" s="199"/>
      <c r="NDZ205" s="199"/>
      <c r="NEA205" s="199"/>
      <c r="NEB205" s="199"/>
      <c r="NEC205" s="199"/>
      <c r="NED205" s="199"/>
      <c r="NEE205" s="199"/>
      <c r="NEF205" s="199"/>
      <c r="NEG205" s="199"/>
      <c r="NEH205" s="199"/>
      <c r="NEI205" s="199"/>
      <c r="NEJ205" s="199"/>
      <c r="NEK205" s="199"/>
      <c r="NEL205" s="199"/>
      <c r="NEM205" s="199"/>
      <c r="NEN205" s="199"/>
      <c r="NEO205" s="199"/>
      <c r="NEP205" s="199"/>
      <c r="NEQ205" s="199"/>
      <c r="NER205" s="199"/>
      <c r="NES205" s="199"/>
      <c r="NET205" s="199"/>
      <c r="NEU205" s="199"/>
      <c r="NEV205" s="199"/>
      <c r="NEW205" s="199"/>
      <c r="NEX205" s="199"/>
      <c r="NEY205" s="199"/>
      <c r="NEZ205" s="199"/>
      <c r="NFA205" s="199"/>
      <c r="NFB205" s="199"/>
      <c r="NFC205" s="199"/>
      <c r="NFD205" s="199"/>
      <c r="NFE205" s="199"/>
      <c r="NFF205" s="199"/>
      <c r="NFG205" s="199"/>
      <c r="NFH205" s="199"/>
      <c r="NFI205" s="199"/>
      <c r="NFJ205" s="199"/>
      <c r="NFK205" s="199"/>
      <c r="NFL205" s="199"/>
      <c r="NFM205" s="199"/>
      <c r="NFN205" s="199"/>
      <c r="NFO205" s="199"/>
      <c r="NFP205" s="199"/>
      <c r="NFQ205" s="199"/>
      <c r="NFR205" s="199"/>
      <c r="NFS205" s="199"/>
      <c r="NFT205" s="199"/>
      <c r="NFU205" s="199"/>
      <c r="NFV205" s="199"/>
      <c r="NFW205" s="199"/>
      <c r="NFX205" s="199"/>
      <c r="NFY205" s="199"/>
      <c r="NFZ205" s="199"/>
      <c r="NGA205" s="199"/>
      <c r="NGB205" s="199"/>
      <c r="NGC205" s="199"/>
      <c r="NGD205" s="199"/>
      <c r="NGE205" s="199"/>
      <c r="NGF205" s="199"/>
      <c r="NGG205" s="199"/>
      <c r="NGH205" s="199"/>
      <c r="NGI205" s="199"/>
      <c r="NGJ205" s="199"/>
      <c r="NGK205" s="199"/>
      <c r="NGL205" s="199"/>
      <c r="NGM205" s="199"/>
      <c r="NGN205" s="199"/>
      <c r="NGO205" s="199"/>
      <c r="NGP205" s="199"/>
      <c r="NGQ205" s="199"/>
      <c r="NGR205" s="199"/>
      <c r="NGS205" s="199"/>
      <c r="NGT205" s="199"/>
      <c r="NGU205" s="199"/>
      <c r="NGV205" s="199"/>
      <c r="NGW205" s="199"/>
      <c r="NGX205" s="199"/>
      <c r="NGY205" s="199"/>
      <c r="NGZ205" s="199"/>
      <c r="NHA205" s="199"/>
      <c r="NHB205" s="199"/>
      <c r="NHC205" s="199"/>
      <c r="NHD205" s="199"/>
      <c r="NHE205" s="199"/>
      <c r="NHF205" s="199"/>
      <c r="NHG205" s="199"/>
      <c r="NHH205" s="199"/>
      <c r="NHI205" s="199"/>
      <c r="NHJ205" s="199"/>
      <c r="NHK205" s="199"/>
      <c r="NHL205" s="199"/>
      <c r="NHM205" s="199"/>
      <c r="NHN205" s="199"/>
      <c r="NHO205" s="199"/>
      <c r="NHP205" s="199"/>
      <c r="NHQ205" s="199"/>
      <c r="NHR205" s="199"/>
      <c r="NHS205" s="199"/>
      <c r="NHT205" s="199"/>
      <c r="NHU205" s="199"/>
      <c r="NHV205" s="199"/>
      <c r="NHW205" s="199"/>
      <c r="NHX205" s="199"/>
      <c r="NHY205" s="199"/>
      <c r="NHZ205" s="199"/>
      <c r="NIA205" s="199"/>
      <c r="NIB205" s="199"/>
      <c r="NIC205" s="199"/>
      <c r="NID205" s="199"/>
      <c r="NIE205" s="199"/>
      <c r="NIF205" s="199"/>
      <c r="NIG205" s="199"/>
      <c r="NIH205" s="199"/>
      <c r="NII205" s="199"/>
      <c r="NIJ205" s="199"/>
      <c r="NIK205" s="199"/>
      <c r="NIL205" s="199"/>
      <c r="NIM205" s="199"/>
      <c r="NIN205" s="199"/>
      <c r="NIO205" s="199"/>
      <c r="NIP205" s="199"/>
      <c r="NIQ205" s="199"/>
      <c r="NIR205" s="199"/>
      <c r="NIS205" s="199"/>
      <c r="NIT205" s="199"/>
      <c r="NIU205" s="199"/>
      <c r="NIV205" s="199"/>
      <c r="NIW205" s="199"/>
      <c r="NIX205" s="199"/>
      <c r="NIY205" s="199"/>
      <c r="NIZ205" s="199"/>
      <c r="NJA205" s="199"/>
      <c r="NJB205" s="199"/>
      <c r="NJC205" s="199"/>
      <c r="NJD205" s="199"/>
      <c r="NJE205" s="199"/>
      <c r="NJF205" s="199"/>
      <c r="NJG205" s="199"/>
      <c r="NJH205" s="199"/>
      <c r="NJI205" s="199"/>
      <c r="NJJ205" s="199"/>
      <c r="NJK205" s="199"/>
      <c r="NJL205" s="199"/>
      <c r="NJM205" s="199"/>
      <c r="NJN205" s="199"/>
      <c r="NJO205" s="199"/>
      <c r="NJP205" s="199"/>
      <c r="NJQ205" s="199"/>
      <c r="NJR205" s="199"/>
      <c r="NJS205" s="199"/>
      <c r="NJT205" s="199"/>
      <c r="NJU205" s="199"/>
      <c r="NJV205" s="199"/>
      <c r="NJW205" s="199"/>
      <c r="NJX205" s="199"/>
      <c r="NJY205" s="199"/>
      <c r="NJZ205" s="199"/>
      <c r="NKA205" s="199"/>
      <c r="NKB205" s="199"/>
      <c r="NKC205" s="199"/>
      <c r="NKD205" s="199"/>
      <c r="NKE205" s="199"/>
      <c r="NKF205" s="199"/>
      <c r="NKG205" s="199"/>
      <c r="NKH205" s="199"/>
      <c r="NKI205" s="199"/>
      <c r="NKJ205" s="199"/>
      <c r="NKK205" s="199"/>
      <c r="NKL205" s="199"/>
      <c r="NKM205" s="199"/>
      <c r="NKN205" s="199"/>
      <c r="NKO205" s="199"/>
      <c r="NKP205" s="199"/>
      <c r="NKQ205" s="199"/>
      <c r="NKR205" s="199"/>
      <c r="NKS205" s="199"/>
      <c r="NKT205" s="199"/>
      <c r="NKU205" s="199"/>
      <c r="NKV205" s="199"/>
      <c r="NKW205" s="199"/>
      <c r="NKX205" s="199"/>
      <c r="NKY205" s="199"/>
      <c r="NKZ205" s="199"/>
      <c r="NLA205" s="199"/>
      <c r="NLB205" s="199"/>
      <c r="NLC205" s="199"/>
      <c r="NLD205" s="199"/>
      <c r="NLE205" s="199"/>
      <c r="NLF205" s="199"/>
      <c r="NLG205" s="199"/>
      <c r="NLH205" s="199"/>
      <c r="NLI205" s="199"/>
      <c r="NLJ205" s="199"/>
      <c r="NLK205" s="199"/>
      <c r="NLL205" s="199"/>
      <c r="NLM205" s="199"/>
      <c r="NLN205" s="199"/>
      <c r="NLO205" s="199"/>
      <c r="NLP205" s="199"/>
      <c r="NLQ205" s="199"/>
      <c r="NLR205" s="199"/>
      <c r="NLS205" s="199"/>
      <c r="NLT205" s="199"/>
      <c r="NLU205" s="199"/>
      <c r="NLV205" s="199"/>
      <c r="NLW205" s="199"/>
      <c r="NLX205" s="199"/>
      <c r="NLY205" s="199"/>
      <c r="NLZ205" s="199"/>
      <c r="NMA205" s="199"/>
      <c r="NMB205" s="199"/>
      <c r="NMC205" s="199"/>
      <c r="NMD205" s="199"/>
      <c r="NME205" s="199"/>
      <c r="NMF205" s="199"/>
      <c r="NMG205" s="199"/>
      <c r="NMH205" s="199"/>
      <c r="NMI205" s="199"/>
      <c r="NMJ205" s="199"/>
      <c r="NMK205" s="199"/>
      <c r="NML205" s="199"/>
      <c r="NMM205" s="199"/>
      <c r="NMN205" s="199"/>
      <c r="NMO205" s="199"/>
      <c r="NMP205" s="199"/>
      <c r="NMQ205" s="199"/>
      <c r="NMR205" s="199"/>
      <c r="NMS205" s="199"/>
      <c r="NMT205" s="199"/>
      <c r="NMU205" s="199"/>
      <c r="NMV205" s="199"/>
      <c r="NMW205" s="199"/>
      <c r="NMX205" s="199"/>
      <c r="NMY205" s="199"/>
      <c r="NMZ205" s="199"/>
      <c r="NNA205" s="199"/>
      <c r="NNB205" s="199"/>
      <c r="NNC205" s="199"/>
      <c r="NND205" s="199"/>
      <c r="NNE205" s="199"/>
      <c r="NNF205" s="199"/>
      <c r="NNG205" s="199"/>
      <c r="NNH205" s="199"/>
      <c r="NNI205" s="199"/>
      <c r="NNJ205" s="199"/>
      <c r="NNK205" s="199"/>
      <c r="NNL205" s="199"/>
      <c r="NNM205" s="199"/>
      <c r="NNN205" s="199"/>
      <c r="NNO205" s="199"/>
      <c r="NNP205" s="199"/>
      <c r="NNQ205" s="199"/>
      <c r="NNR205" s="199"/>
      <c r="NNS205" s="199"/>
      <c r="NNT205" s="199"/>
      <c r="NNU205" s="199"/>
      <c r="NNV205" s="199"/>
      <c r="NNW205" s="199"/>
      <c r="NNX205" s="199"/>
      <c r="NNY205" s="199"/>
      <c r="NNZ205" s="199"/>
      <c r="NOA205" s="199"/>
      <c r="NOB205" s="199"/>
      <c r="NOC205" s="199"/>
      <c r="NOD205" s="199"/>
      <c r="NOE205" s="199"/>
      <c r="NOF205" s="199"/>
      <c r="NOG205" s="199"/>
      <c r="NOH205" s="199"/>
      <c r="NOI205" s="199"/>
      <c r="NOJ205" s="199"/>
      <c r="NOK205" s="199"/>
      <c r="NOL205" s="199"/>
      <c r="NOM205" s="199"/>
      <c r="NON205" s="199"/>
      <c r="NOO205" s="199"/>
      <c r="NOP205" s="199"/>
      <c r="NOQ205" s="199"/>
      <c r="NOR205" s="199"/>
      <c r="NOS205" s="199"/>
      <c r="NOT205" s="199"/>
      <c r="NOU205" s="199"/>
      <c r="NOV205" s="199"/>
      <c r="NOW205" s="199"/>
      <c r="NOX205" s="199"/>
      <c r="NOY205" s="199"/>
      <c r="NOZ205" s="199"/>
      <c r="NPA205" s="199"/>
      <c r="NPB205" s="199"/>
      <c r="NPC205" s="199"/>
      <c r="NPD205" s="199"/>
      <c r="NPE205" s="199"/>
      <c r="NPF205" s="199"/>
      <c r="NPG205" s="199"/>
      <c r="NPH205" s="199"/>
      <c r="NPI205" s="199"/>
      <c r="NPJ205" s="199"/>
      <c r="NPK205" s="199"/>
      <c r="NPL205" s="199"/>
      <c r="NPM205" s="199"/>
      <c r="NPN205" s="199"/>
      <c r="NPO205" s="199"/>
      <c r="NPP205" s="199"/>
      <c r="NPQ205" s="199"/>
      <c r="NPR205" s="199"/>
      <c r="NPS205" s="199"/>
      <c r="NPT205" s="199"/>
      <c r="NPU205" s="199"/>
      <c r="NPV205" s="199"/>
      <c r="NPW205" s="199"/>
      <c r="NPX205" s="199"/>
      <c r="NPY205" s="199"/>
      <c r="NPZ205" s="199"/>
      <c r="NQA205" s="199"/>
      <c r="NQB205" s="199"/>
      <c r="NQC205" s="199"/>
      <c r="NQD205" s="199"/>
      <c r="NQE205" s="199"/>
      <c r="NQF205" s="199"/>
      <c r="NQG205" s="199"/>
      <c r="NQH205" s="199"/>
      <c r="NQI205" s="199"/>
      <c r="NQJ205" s="199"/>
      <c r="NQK205" s="199"/>
      <c r="NQL205" s="199"/>
      <c r="NQM205" s="199"/>
      <c r="NQN205" s="199"/>
      <c r="NQO205" s="199"/>
      <c r="NQP205" s="199"/>
      <c r="NQQ205" s="199"/>
      <c r="NQR205" s="199"/>
      <c r="NQS205" s="199"/>
      <c r="NQT205" s="199"/>
      <c r="NQU205" s="199"/>
      <c r="NQV205" s="199"/>
      <c r="NQW205" s="199"/>
      <c r="NQX205" s="199"/>
      <c r="NQY205" s="199"/>
      <c r="NQZ205" s="199"/>
      <c r="NRA205" s="199"/>
      <c r="NRB205" s="199"/>
      <c r="NRC205" s="199"/>
      <c r="NRD205" s="199"/>
      <c r="NRE205" s="199"/>
      <c r="NRF205" s="199"/>
      <c r="NRG205" s="199"/>
      <c r="NRH205" s="199"/>
      <c r="NRI205" s="199"/>
      <c r="NRJ205" s="199"/>
      <c r="NRK205" s="199"/>
      <c r="NRL205" s="199"/>
      <c r="NRM205" s="199"/>
      <c r="NRN205" s="199"/>
      <c r="NRO205" s="199"/>
      <c r="NRP205" s="199"/>
      <c r="NRQ205" s="199"/>
      <c r="NRR205" s="199"/>
      <c r="NRS205" s="199"/>
      <c r="NRT205" s="199"/>
      <c r="NRU205" s="199"/>
      <c r="NRV205" s="199"/>
      <c r="NRW205" s="199"/>
      <c r="NRX205" s="199"/>
      <c r="NRY205" s="199"/>
      <c r="NRZ205" s="199"/>
      <c r="NSA205" s="199"/>
      <c r="NSB205" s="199"/>
      <c r="NSC205" s="199"/>
      <c r="NSD205" s="199"/>
      <c r="NSE205" s="199"/>
      <c r="NSF205" s="199"/>
      <c r="NSG205" s="199"/>
      <c r="NSH205" s="199"/>
      <c r="NSI205" s="199"/>
      <c r="NSJ205" s="199"/>
      <c r="NSK205" s="199"/>
      <c r="NSL205" s="199"/>
      <c r="NSM205" s="199"/>
      <c r="NSN205" s="199"/>
      <c r="NSO205" s="199"/>
      <c r="NSP205" s="199"/>
      <c r="NSQ205" s="199"/>
      <c r="NSR205" s="199"/>
      <c r="NSS205" s="199"/>
      <c r="NST205" s="199"/>
      <c r="NSU205" s="199"/>
      <c r="NSV205" s="199"/>
      <c r="NSW205" s="199"/>
      <c r="NSX205" s="199"/>
      <c r="NSY205" s="199"/>
      <c r="NSZ205" s="199"/>
      <c r="NTA205" s="199"/>
      <c r="NTB205" s="199"/>
      <c r="NTC205" s="199"/>
      <c r="NTD205" s="199"/>
      <c r="NTE205" s="199"/>
      <c r="NTF205" s="199"/>
      <c r="NTG205" s="199"/>
      <c r="NTH205" s="199"/>
      <c r="NTI205" s="199"/>
      <c r="NTJ205" s="199"/>
      <c r="NTK205" s="199"/>
      <c r="NTL205" s="199"/>
      <c r="NTM205" s="199"/>
      <c r="NTN205" s="199"/>
      <c r="NTO205" s="199"/>
      <c r="NTP205" s="199"/>
      <c r="NTQ205" s="199"/>
      <c r="NTR205" s="199"/>
      <c r="NTS205" s="199"/>
      <c r="NTT205" s="199"/>
      <c r="NTU205" s="199"/>
      <c r="NTV205" s="199"/>
      <c r="NTW205" s="199"/>
      <c r="NTX205" s="199"/>
      <c r="NTY205" s="199"/>
      <c r="NTZ205" s="199"/>
      <c r="NUA205" s="199"/>
      <c r="NUB205" s="199"/>
      <c r="NUC205" s="199"/>
      <c r="NUD205" s="199"/>
      <c r="NUE205" s="199"/>
      <c r="NUF205" s="199"/>
      <c r="NUG205" s="199"/>
      <c r="NUH205" s="199"/>
      <c r="NUI205" s="199"/>
      <c r="NUJ205" s="199"/>
      <c r="NUK205" s="199"/>
      <c r="NUL205" s="199"/>
      <c r="NUM205" s="199"/>
      <c r="NUN205" s="199"/>
      <c r="NUO205" s="199"/>
      <c r="NUP205" s="199"/>
      <c r="NUQ205" s="199"/>
      <c r="NUR205" s="199"/>
      <c r="NUS205" s="199"/>
      <c r="NUT205" s="199"/>
      <c r="NUU205" s="199"/>
      <c r="NUV205" s="199"/>
      <c r="NUW205" s="199"/>
      <c r="NUX205" s="199"/>
      <c r="NUY205" s="199"/>
      <c r="NUZ205" s="199"/>
      <c r="NVA205" s="199"/>
      <c r="NVB205" s="199"/>
      <c r="NVC205" s="199"/>
      <c r="NVD205" s="199"/>
      <c r="NVE205" s="199"/>
      <c r="NVF205" s="199"/>
      <c r="NVG205" s="199"/>
      <c r="NVH205" s="199"/>
      <c r="NVI205" s="199"/>
      <c r="NVJ205" s="199"/>
      <c r="NVK205" s="199"/>
      <c r="NVL205" s="199"/>
      <c r="NVM205" s="199"/>
      <c r="NVN205" s="199"/>
      <c r="NVO205" s="199"/>
      <c r="NVP205" s="199"/>
      <c r="NVQ205" s="199"/>
      <c r="NVR205" s="199"/>
      <c r="NVS205" s="199"/>
      <c r="NVT205" s="199"/>
      <c r="NVU205" s="199"/>
      <c r="NVV205" s="199"/>
      <c r="NVW205" s="199"/>
      <c r="NVX205" s="199"/>
      <c r="NVY205" s="199"/>
      <c r="NVZ205" s="199"/>
      <c r="NWA205" s="199"/>
      <c r="NWB205" s="199"/>
      <c r="NWC205" s="199"/>
      <c r="NWD205" s="199"/>
      <c r="NWE205" s="199"/>
      <c r="NWF205" s="199"/>
      <c r="NWG205" s="199"/>
      <c r="NWH205" s="199"/>
      <c r="NWI205" s="199"/>
      <c r="NWJ205" s="199"/>
      <c r="NWK205" s="199"/>
      <c r="NWL205" s="199"/>
      <c r="NWM205" s="199"/>
      <c r="NWN205" s="199"/>
      <c r="NWO205" s="199"/>
      <c r="NWP205" s="199"/>
      <c r="NWQ205" s="199"/>
      <c r="NWR205" s="199"/>
      <c r="NWS205" s="199"/>
      <c r="NWT205" s="199"/>
      <c r="NWU205" s="199"/>
      <c r="NWV205" s="199"/>
      <c r="NWW205" s="199"/>
      <c r="NWX205" s="199"/>
      <c r="NWY205" s="199"/>
      <c r="NWZ205" s="199"/>
      <c r="NXA205" s="199"/>
      <c r="NXB205" s="199"/>
      <c r="NXC205" s="199"/>
      <c r="NXD205" s="199"/>
      <c r="NXE205" s="199"/>
      <c r="NXF205" s="199"/>
      <c r="NXG205" s="199"/>
      <c r="NXH205" s="199"/>
      <c r="NXI205" s="199"/>
      <c r="NXJ205" s="199"/>
      <c r="NXK205" s="199"/>
      <c r="NXL205" s="199"/>
      <c r="NXM205" s="199"/>
      <c r="NXN205" s="199"/>
      <c r="NXO205" s="199"/>
      <c r="NXP205" s="199"/>
      <c r="NXQ205" s="199"/>
      <c r="NXR205" s="199"/>
      <c r="NXS205" s="199"/>
      <c r="NXT205" s="199"/>
      <c r="NXU205" s="199"/>
      <c r="NXV205" s="199"/>
      <c r="NXW205" s="199"/>
      <c r="NXX205" s="199"/>
      <c r="NXY205" s="199"/>
      <c r="NXZ205" s="199"/>
      <c r="NYA205" s="199"/>
      <c r="NYB205" s="199"/>
      <c r="NYC205" s="199"/>
      <c r="NYD205" s="199"/>
      <c r="NYE205" s="199"/>
      <c r="NYF205" s="199"/>
      <c r="NYG205" s="199"/>
      <c r="NYH205" s="199"/>
      <c r="NYI205" s="199"/>
      <c r="NYJ205" s="199"/>
      <c r="NYK205" s="199"/>
      <c r="NYL205" s="199"/>
      <c r="NYM205" s="199"/>
      <c r="NYN205" s="199"/>
      <c r="NYO205" s="199"/>
      <c r="NYP205" s="199"/>
      <c r="NYQ205" s="199"/>
      <c r="NYR205" s="199"/>
      <c r="NYS205" s="199"/>
      <c r="NYT205" s="199"/>
      <c r="NYU205" s="199"/>
      <c r="NYV205" s="199"/>
      <c r="NYW205" s="199"/>
      <c r="NYX205" s="199"/>
      <c r="NYY205" s="199"/>
      <c r="NYZ205" s="199"/>
      <c r="NZA205" s="199"/>
      <c r="NZB205" s="199"/>
      <c r="NZC205" s="199"/>
      <c r="NZD205" s="199"/>
      <c r="NZE205" s="199"/>
      <c r="NZF205" s="199"/>
      <c r="NZG205" s="199"/>
      <c r="NZH205" s="199"/>
      <c r="NZI205" s="199"/>
      <c r="NZJ205" s="199"/>
      <c r="NZK205" s="199"/>
      <c r="NZL205" s="199"/>
      <c r="NZM205" s="199"/>
      <c r="NZN205" s="199"/>
      <c r="NZO205" s="199"/>
      <c r="NZP205" s="199"/>
      <c r="NZQ205" s="199"/>
      <c r="NZR205" s="199"/>
      <c r="NZS205" s="199"/>
      <c r="NZT205" s="199"/>
      <c r="NZU205" s="199"/>
      <c r="NZV205" s="199"/>
      <c r="NZW205" s="199"/>
      <c r="NZX205" s="199"/>
      <c r="NZY205" s="199"/>
      <c r="NZZ205" s="199"/>
      <c r="OAA205" s="199"/>
      <c r="OAB205" s="199"/>
      <c r="OAC205" s="199"/>
      <c r="OAD205" s="199"/>
      <c r="OAE205" s="199"/>
      <c r="OAF205" s="199"/>
      <c r="OAG205" s="199"/>
      <c r="OAH205" s="199"/>
      <c r="OAI205" s="199"/>
      <c r="OAJ205" s="199"/>
      <c r="OAK205" s="199"/>
      <c r="OAL205" s="199"/>
      <c r="OAM205" s="199"/>
      <c r="OAN205" s="199"/>
      <c r="OAO205" s="199"/>
      <c r="OAP205" s="199"/>
      <c r="OAQ205" s="199"/>
      <c r="OAR205" s="199"/>
      <c r="OAS205" s="199"/>
      <c r="OAT205" s="199"/>
      <c r="OAU205" s="199"/>
      <c r="OAV205" s="199"/>
      <c r="OAW205" s="199"/>
      <c r="OAX205" s="199"/>
      <c r="OAY205" s="199"/>
      <c r="OAZ205" s="199"/>
      <c r="OBA205" s="199"/>
      <c r="OBB205" s="199"/>
      <c r="OBC205" s="199"/>
      <c r="OBD205" s="199"/>
      <c r="OBE205" s="199"/>
      <c r="OBF205" s="199"/>
      <c r="OBG205" s="199"/>
      <c r="OBH205" s="199"/>
      <c r="OBI205" s="199"/>
      <c r="OBJ205" s="199"/>
      <c r="OBK205" s="199"/>
      <c r="OBL205" s="199"/>
      <c r="OBM205" s="199"/>
      <c r="OBN205" s="199"/>
      <c r="OBO205" s="199"/>
      <c r="OBP205" s="199"/>
      <c r="OBQ205" s="199"/>
      <c r="OBR205" s="199"/>
      <c r="OBS205" s="199"/>
      <c r="OBT205" s="199"/>
      <c r="OBU205" s="199"/>
      <c r="OBV205" s="199"/>
      <c r="OBW205" s="199"/>
      <c r="OBX205" s="199"/>
      <c r="OBY205" s="199"/>
      <c r="OBZ205" s="199"/>
      <c r="OCA205" s="199"/>
      <c r="OCB205" s="199"/>
      <c r="OCC205" s="199"/>
      <c r="OCD205" s="199"/>
      <c r="OCE205" s="199"/>
      <c r="OCF205" s="199"/>
      <c r="OCG205" s="199"/>
      <c r="OCH205" s="199"/>
      <c r="OCI205" s="199"/>
      <c r="OCJ205" s="199"/>
      <c r="OCK205" s="199"/>
      <c r="OCL205" s="199"/>
      <c r="OCM205" s="199"/>
      <c r="OCN205" s="199"/>
      <c r="OCO205" s="199"/>
      <c r="OCP205" s="199"/>
      <c r="OCQ205" s="199"/>
      <c r="OCR205" s="199"/>
      <c r="OCS205" s="199"/>
      <c r="OCT205" s="199"/>
      <c r="OCU205" s="199"/>
      <c r="OCV205" s="199"/>
      <c r="OCW205" s="199"/>
      <c r="OCX205" s="199"/>
      <c r="OCY205" s="199"/>
      <c r="OCZ205" s="199"/>
      <c r="ODA205" s="199"/>
      <c r="ODB205" s="199"/>
      <c r="ODC205" s="199"/>
      <c r="ODD205" s="199"/>
      <c r="ODE205" s="199"/>
      <c r="ODF205" s="199"/>
      <c r="ODG205" s="199"/>
      <c r="ODH205" s="199"/>
      <c r="ODI205" s="199"/>
      <c r="ODJ205" s="199"/>
      <c r="ODK205" s="199"/>
      <c r="ODL205" s="199"/>
      <c r="ODM205" s="199"/>
      <c r="ODN205" s="199"/>
      <c r="ODO205" s="199"/>
      <c r="ODP205" s="199"/>
      <c r="ODQ205" s="199"/>
      <c r="ODR205" s="199"/>
      <c r="ODS205" s="199"/>
      <c r="ODT205" s="199"/>
      <c r="ODU205" s="199"/>
      <c r="ODV205" s="199"/>
      <c r="ODW205" s="199"/>
      <c r="ODX205" s="199"/>
      <c r="ODY205" s="199"/>
      <c r="ODZ205" s="199"/>
      <c r="OEA205" s="199"/>
      <c r="OEB205" s="199"/>
      <c r="OEC205" s="199"/>
      <c r="OED205" s="199"/>
      <c r="OEE205" s="199"/>
      <c r="OEF205" s="199"/>
      <c r="OEG205" s="199"/>
      <c r="OEH205" s="199"/>
      <c r="OEI205" s="199"/>
      <c r="OEJ205" s="199"/>
      <c r="OEK205" s="199"/>
      <c r="OEL205" s="199"/>
      <c r="OEM205" s="199"/>
      <c r="OEN205" s="199"/>
      <c r="OEO205" s="199"/>
      <c r="OEP205" s="199"/>
      <c r="OEQ205" s="199"/>
      <c r="OER205" s="199"/>
      <c r="OES205" s="199"/>
      <c r="OET205" s="199"/>
      <c r="OEU205" s="199"/>
      <c r="OEV205" s="199"/>
      <c r="OEW205" s="199"/>
      <c r="OEX205" s="199"/>
      <c r="OEY205" s="199"/>
      <c r="OEZ205" s="199"/>
      <c r="OFA205" s="199"/>
      <c r="OFB205" s="199"/>
      <c r="OFC205" s="199"/>
      <c r="OFD205" s="199"/>
      <c r="OFE205" s="199"/>
      <c r="OFF205" s="199"/>
      <c r="OFG205" s="199"/>
      <c r="OFH205" s="199"/>
      <c r="OFI205" s="199"/>
      <c r="OFJ205" s="199"/>
      <c r="OFK205" s="199"/>
      <c r="OFL205" s="199"/>
      <c r="OFM205" s="199"/>
      <c r="OFN205" s="199"/>
      <c r="OFO205" s="199"/>
      <c r="OFP205" s="199"/>
      <c r="OFQ205" s="199"/>
      <c r="OFR205" s="199"/>
      <c r="OFS205" s="199"/>
      <c r="OFT205" s="199"/>
      <c r="OFU205" s="199"/>
      <c r="OFV205" s="199"/>
      <c r="OFW205" s="199"/>
      <c r="OFX205" s="199"/>
      <c r="OFY205" s="199"/>
      <c r="OFZ205" s="199"/>
      <c r="OGA205" s="199"/>
      <c r="OGB205" s="199"/>
      <c r="OGC205" s="199"/>
      <c r="OGD205" s="199"/>
      <c r="OGE205" s="199"/>
      <c r="OGF205" s="199"/>
      <c r="OGG205" s="199"/>
      <c r="OGH205" s="199"/>
      <c r="OGI205" s="199"/>
      <c r="OGJ205" s="199"/>
      <c r="OGK205" s="199"/>
      <c r="OGL205" s="199"/>
      <c r="OGM205" s="199"/>
      <c r="OGN205" s="199"/>
      <c r="OGO205" s="199"/>
      <c r="OGP205" s="199"/>
      <c r="OGQ205" s="199"/>
      <c r="OGR205" s="199"/>
      <c r="OGS205" s="199"/>
      <c r="OGT205" s="199"/>
      <c r="OGU205" s="199"/>
      <c r="OGV205" s="199"/>
      <c r="OGW205" s="199"/>
      <c r="OGX205" s="199"/>
      <c r="OGY205" s="199"/>
      <c r="OGZ205" s="199"/>
      <c r="OHA205" s="199"/>
      <c r="OHB205" s="199"/>
      <c r="OHC205" s="199"/>
      <c r="OHD205" s="199"/>
      <c r="OHE205" s="199"/>
      <c r="OHF205" s="199"/>
      <c r="OHG205" s="199"/>
      <c r="OHH205" s="199"/>
      <c r="OHI205" s="199"/>
      <c r="OHJ205" s="199"/>
      <c r="OHK205" s="199"/>
      <c r="OHL205" s="199"/>
      <c r="OHM205" s="199"/>
      <c r="OHN205" s="199"/>
      <c r="OHO205" s="199"/>
      <c r="OHP205" s="199"/>
      <c r="OHQ205" s="199"/>
      <c r="OHR205" s="199"/>
      <c r="OHS205" s="199"/>
      <c r="OHT205" s="199"/>
      <c r="OHU205" s="199"/>
      <c r="OHV205" s="199"/>
      <c r="OHW205" s="199"/>
      <c r="OHX205" s="199"/>
      <c r="OHY205" s="199"/>
      <c r="OHZ205" s="199"/>
      <c r="OIA205" s="199"/>
      <c r="OIB205" s="199"/>
      <c r="OIC205" s="199"/>
      <c r="OID205" s="199"/>
      <c r="OIE205" s="199"/>
      <c r="OIF205" s="199"/>
      <c r="OIG205" s="199"/>
      <c r="OIH205" s="199"/>
      <c r="OII205" s="199"/>
      <c r="OIJ205" s="199"/>
      <c r="OIK205" s="199"/>
      <c r="OIL205" s="199"/>
      <c r="OIM205" s="199"/>
      <c r="OIN205" s="199"/>
      <c r="OIO205" s="199"/>
      <c r="OIP205" s="199"/>
      <c r="OIQ205" s="199"/>
      <c r="OIR205" s="199"/>
      <c r="OIS205" s="199"/>
      <c r="OIT205" s="199"/>
      <c r="OIU205" s="199"/>
      <c r="OIV205" s="199"/>
      <c r="OIW205" s="199"/>
      <c r="OIX205" s="199"/>
      <c r="OIY205" s="199"/>
      <c r="OIZ205" s="199"/>
      <c r="OJA205" s="199"/>
      <c r="OJB205" s="199"/>
      <c r="OJC205" s="199"/>
      <c r="OJD205" s="199"/>
      <c r="OJE205" s="199"/>
      <c r="OJF205" s="199"/>
      <c r="OJG205" s="199"/>
      <c r="OJH205" s="199"/>
      <c r="OJI205" s="199"/>
      <c r="OJJ205" s="199"/>
      <c r="OJK205" s="199"/>
      <c r="OJL205" s="199"/>
      <c r="OJM205" s="199"/>
      <c r="OJN205" s="199"/>
      <c r="OJO205" s="199"/>
      <c r="OJP205" s="199"/>
      <c r="OJQ205" s="199"/>
      <c r="OJR205" s="199"/>
      <c r="OJS205" s="199"/>
      <c r="OJT205" s="199"/>
      <c r="OJU205" s="199"/>
      <c r="OJV205" s="199"/>
      <c r="OJW205" s="199"/>
      <c r="OJX205" s="199"/>
      <c r="OJY205" s="199"/>
      <c r="OJZ205" s="199"/>
      <c r="OKA205" s="199"/>
      <c r="OKB205" s="199"/>
      <c r="OKC205" s="199"/>
      <c r="OKD205" s="199"/>
      <c r="OKE205" s="199"/>
      <c r="OKF205" s="199"/>
      <c r="OKG205" s="199"/>
      <c r="OKH205" s="199"/>
      <c r="OKI205" s="199"/>
      <c r="OKJ205" s="199"/>
      <c r="OKK205" s="199"/>
      <c r="OKL205" s="199"/>
      <c r="OKM205" s="199"/>
      <c r="OKN205" s="199"/>
      <c r="OKO205" s="199"/>
      <c r="OKP205" s="199"/>
      <c r="OKQ205" s="199"/>
      <c r="OKR205" s="199"/>
      <c r="OKS205" s="199"/>
      <c r="OKT205" s="199"/>
      <c r="OKU205" s="199"/>
      <c r="OKV205" s="199"/>
      <c r="OKW205" s="199"/>
      <c r="OKX205" s="199"/>
      <c r="OKY205" s="199"/>
      <c r="OKZ205" s="199"/>
      <c r="OLA205" s="199"/>
      <c r="OLB205" s="199"/>
      <c r="OLC205" s="199"/>
      <c r="OLD205" s="199"/>
      <c r="OLE205" s="199"/>
      <c r="OLF205" s="199"/>
      <c r="OLG205" s="199"/>
      <c r="OLH205" s="199"/>
      <c r="OLI205" s="199"/>
      <c r="OLJ205" s="199"/>
      <c r="OLK205" s="199"/>
      <c r="OLL205" s="199"/>
      <c r="OLM205" s="199"/>
      <c r="OLN205" s="199"/>
      <c r="OLO205" s="199"/>
      <c r="OLP205" s="199"/>
      <c r="OLQ205" s="199"/>
      <c r="OLR205" s="199"/>
      <c r="OLS205" s="199"/>
      <c r="OLT205" s="199"/>
      <c r="OLU205" s="199"/>
      <c r="OLV205" s="199"/>
      <c r="OLW205" s="199"/>
      <c r="OLX205" s="199"/>
      <c r="OLY205" s="199"/>
      <c r="OLZ205" s="199"/>
      <c r="OMA205" s="199"/>
      <c r="OMB205" s="199"/>
      <c r="OMC205" s="199"/>
      <c r="OMD205" s="199"/>
      <c r="OME205" s="199"/>
      <c r="OMF205" s="199"/>
      <c r="OMG205" s="199"/>
      <c r="OMH205" s="199"/>
      <c r="OMI205" s="199"/>
      <c r="OMJ205" s="199"/>
      <c r="OMK205" s="199"/>
      <c r="OML205" s="199"/>
      <c r="OMM205" s="199"/>
      <c r="OMN205" s="199"/>
      <c r="OMO205" s="199"/>
      <c r="OMP205" s="199"/>
      <c r="OMQ205" s="199"/>
      <c r="OMR205" s="199"/>
      <c r="OMS205" s="199"/>
      <c r="OMT205" s="199"/>
      <c r="OMU205" s="199"/>
      <c r="OMV205" s="199"/>
      <c r="OMW205" s="199"/>
      <c r="OMX205" s="199"/>
      <c r="OMY205" s="199"/>
      <c r="OMZ205" s="199"/>
      <c r="ONA205" s="199"/>
      <c r="ONB205" s="199"/>
      <c r="ONC205" s="199"/>
      <c r="OND205" s="199"/>
      <c r="ONE205" s="199"/>
      <c r="ONF205" s="199"/>
      <c r="ONG205" s="199"/>
      <c r="ONH205" s="199"/>
      <c r="ONI205" s="199"/>
      <c r="ONJ205" s="199"/>
      <c r="ONK205" s="199"/>
      <c r="ONL205" s="199"/>
      <c r="ONM205" s="199"/>
      <c r="ONN205" s="199"/>
      <c r="ONO205" s="199"/>
      <c r="ONP205" s="199"/>
      <c r="ONQ205" s="199"/>
      <c r="ONR205" s="199"/>
      <c r="ONS205" s="199"/>
      <c r="ONT205" s="199"/>
      <c r="ONU205" s="199"/>
      <c r="ONV205" s="199"/>
      <c r="ONW205" s="199"/>
      <c r="ONX205" s="199"/>
      <c r="ONY205" s="199"/>
      <c r="ONZ205" s="199"/>
      <c r="OOA205" s="199"/>
      <c r="OOB205" s="199"/>
      <c r="OOC205" s="199"/>
      <c r="OOD205" s="199"/>
      <c r="OOE205" s="199"/>
      <c r="OOF205" s="199"/>
      <c r="OOG205" s="199"/>
      <c r="OOH205" s="199"/>
      <c r="OOI205" s="199"/>
      <c r="OOJ205" s="199"/>
      <c r="OOK205" s="199"/>
      <c r="OOL205" s="199"/>
      <c r="OOM205" s="199"/>
      <c r="OON205" s="199"/>
      <c r="OOO205" s="199"/>
      <c r="OOP205" s="199"/>
      <c r="OOQ205" s="199"/>
      <c r="OOR205" s="199"/>
      <c r="OOS205" s="199"/>
      <c r="OOT205" s="199"/>
      <c r="OOU205" s="199"/>
      <c r="OOV205" s="199"/>
      <c r="OOW205" s="199"/>
      <c r="OOX205" s="199"/>
      <c r="OOY205" s="199"/>
      <c r="OOZ205" s="199"/>
      <c r="OPA205" s="199"/>
      <c r="OPB205" s="199"/>
      <c r="OPC205" s="199"/>
      <c r="OPD205" s="199"/>
      <c r="OPE205" s="199"/>
      <c r="OPF205" s="199"/>
      <c r="OPG205" s="199"/>
      <c r="OPH205" s="199"/>
      <c r="OPI205" s="199"/>
      <c r="OPJ205" s="199"/>
      <c r="OPK205" s="199"/>
      <c r="OPL205" s="199"/>
      <c r="OPM205" s="199"/>
      <c r="OPN205" s="199"/>
      <c r="OPO205" s="199"/>
      <c r="OPP205" s="199"/>
      <c r="OPQ205" s="199"/>
      <c r="OPR205" s="199"/>
      <c r="OPS205" s="199"/>
      <c r="OPT205" s="199"/>
      <c r="OPU205" s="199"/>
      <c r="OPV205" s="199"/>
      <c r="OPW205" s="199"/>
      <c r="OPX205" s="199"/>
      <c r="OPY205" s="199"/>
      <c r="OPZ205" s="199"/>
      <c r="OQA205" s="199"/>
      <c r="OQB205" s="199"/>
      <c r="OQC205" s="199"/>
      <c r="OQD205" s="199"/>
      <c r="OQE205" s="199"/>
      <c r="OQF205" s="199"/>
      <c r="OQG205" s="199"/>
      <c r="OQH205" s="199"/>
      <c r="OQI205" s="199"/>
      <c r="OQJ205" s="199"/>
      <c r="OQK205" s="199"/>
      <c r="OQL205" s="199"/>
      <c r="OQM205" s="199"/>
      <c r="OQN205" s="199"/>
      <c r="OQO205" s="199"/>
      <c r="OQP205" s="199"/>
      <c r="OQQ205" s="199"/>
      <c r="OQR205" s="199"/>
      <c r="OQS205" s="199"/>
      <c r="OQT205" s="199"/>
      <c r="OQU205" s="199"/>
      <c r="OQV205" s="199"/>
      <c r="OQW205" s="199"/>
      <c r="OQX205" s="199"/>
      <c r="OQY205" s="199"/>
      <c r="OQZ205" s="199"/>
      <c r="ORA205" s="199"/>
      <c r="ORB205" s="199"/>
      <c r="ORC205" s="199"/>
      <c r="ORD205" s="199"/>
      <c r="ORE205" s="199"/>
      <c r="ORF205" s="199"/>
      <c r="ORG205" s="199"/>
      <c r="ORH205" s="199"/>
      <c r="ORI205" s="199"/>
      <c r="ORJ205" s="199"/>
      <c r="ORK205" s="199"/>
      <c r="ORL205" s="199"/>
      <c r="ORM205" s="199"/>
      <c r="ORN205" s="199"/>
      <c r="ORO205" s="199"/>
      <c r="ORP205" s="199"/>
      <c r="ORQ205" s="199"/>
      <c r="ORR205" s="199"/>
      <c r="ORS205" s="199"/>
      <c r="ORT205" s="199"/>
      <c r="ORU205" s="199"/>
      <c r="ORV205" s="199"/>
      <c r="ORW205" s="199"/>
      <c r="ORX205" s="199"/>
      <c r="ORY205" s="199"/>
      <c r="ORZ205" s="199"/>
      <c r="OSA205" s="199"/>
      <c r="OSB205" s="199"/>
      <c r="OSC205" s="199"/>
      <c r="OSD205" s="199"/>
      <c r="OSE205" s="199"/>
      <c r="OSF205" s="199"/>
      <c r="OSG205" s="199"/>
      <c r="OSH205" s="199"/>
      <c r="OSI205" s="199"/>
      <c r="OSJ205" s="199"/>
      <c r="OSK205" s="199"/>
      <c r="OSL205" s="199"/>
      <c r="OSM205" s="199"/>
      <c r="OSN205" s="199"/>
      <c r="OSO205" s="199"/>
      <c r="OSP205" s="199"/>
      <c r="OSQ205" s="199"/>
      <c r="OSR205" s="199"/>
      <c r="OSS205" s="199"/>
      <c r="OST205" s="199"/>
      <c r="OSU205" s="199"/>
      <c r="OSV205" s="199"/>
      <c r="OSW205" s="199"/>
      <c r="OSX205" s="199"/>
      <c r="OSY205" s="199"/>
      <c r="OSZ205" s="199"/>
      <c r="OTA205" s="199"/>
      <c r="OTB205" s="199"/>
      <c r="OTC205" s="199"/>
      <c r="OTD205" s="199"/>
      <c r="OTE205" s="199"/>
      <c r="OTF205" s="199"/>
      <c r="OTG205" s="199"/>
      <c r="OTH205" s="199"/>
      <c r="OTI205" s="199"/>
      <c r="OTJ205" s="199"/>
      <c r="OTK205" s="199"/>
      <c r="OTL205" s="199"/>
      <c r="OTM205" s="199"/>
      <c r="OTN205" s="199"/>
      <c r="OTO205" s="199"/>
      <c r="OTP205" s="199"/>
      <c r="OTQ205" s="199"/>
      <c r="OTR205" s="199"/>
      <c r="OTS205" s="199"/>
      <c r="OTT205" s="199"/>
      <c r="OTU205" s="199"/>
      <c r="OTV205" s="199"/>
      <c r="OTW205" s="199"/>
      <c r="OTX205" s="199"/>
      <c r="OTY205" s="199"/>
      <c r="OTZ205" s="199"/>
      <c r="OUA205" s="199"/>
      <c r="OUB205" s="199"/>
      <c r="OUC205" s="199"/>
      <c r="OUD205" s="199"/>
      <c r="OUE205" s="199"/>
      <c r="OUF205" s="199"/>
      <c r="OUG205" s="199"/>
      <c r="OUH205" s="199"/>
      <c r="OUI205" s="199"/>
      <c r="OUJ205" s="199"/>
      <c r="OUK205" s="199"/>
      <c r="OUL205" s="199"/>
      <c r="OUM205" s="199"/>
      <c r="OUN205" s="199"/>
      <c r="OUO205" s="199"/>
      <c r="OUP205" s="199"/>
      <c r="OUQ205" s="199"/>
      <c r="OUR205" s="199"/>
      <c r="OUS205" s="199"/>
      <c r="OUT205" s="199"/>
      <c r="OUU205" s="199"/>
      <c r="OUV205" s="199"/>
      <c r="OUW205" s="199"/>
      <c r="OUX205" s="199"/>
      <c r="OUY205" s="199"/>
      <c r="OUZ205" s="199"/>
      <c r="OVA205" s="199"/>
      <c r="OVB205" s="199"/>
      <c r="OVC205" s="199"/>
      <c r="OVD205" s="199"/>
      <c r="OVE205" s="199"/>
      <c r="OVF205" s="199"/>
      <c r="OVG205" s="199"/>
      <c r="OVH205" s="199"/>
      <c r="OVI205" s="199"/>
      <c r="OVJ205" s="199"/>
      <c r="OVK205" s="199"/>
      <c r="OVL205" s="199"/>
      <c r="OVM205" s="199"/>
      <c r="OVN205" s="199"/>
      <c r="OVO205" s="199"/>
      <c r="OVP205" s="199"/>
      <c r="OVQ205" s="199"/>
      <c r="OVR205" s="199"/>
      <c r="OVS205" s="199"/>
      <c r="OVT205" s="199"/>
      <c r="OVU205" s="199"/>
      <c r="OVV205" s="199"/>
      <c r="OVW205" s="199"/>
      <c r="OVX205" s="199"/>
      <c r="OVY205" s="199"/>
      <c r="OVZ205" s="199"/>
      <c r="OWA205" s="199"/>
      <c r="OWB205" s="199"/>
      <c r="OWC205" s="199"/>
      <c r="OWD205" s="199"/>
      <c r="OWE205" s="199"/>
      <c r="OWF205" s="199"/>
      <c r="OWG205" s="199"/>
      <c r="OWH205" s="199"/>
      <c r="OWI205" s="199"/>
      <c r="OWJ205" s="199"/>
      <c r="OWK205" s="199"/>
      <c r="OWL205" s="199"/>
      <c r="OWM205" s="199"/>
      <c r="OWN205" s="199"/>
      <c r="OWO205" s="199"/>
      <c r="OWP205" s="199"/>
      <c r="OWQ205" s="199"/>
      <c r="OWR205" s="199"/>
      <c r="OWS205" s="199"/>
      <c r="OWT205" s="199"/>
      <c r="OWU205" s="199"/>
      <c r="OWV205" s="199"/>
      <c r="OWW205" s="199"/>
      <c r="OWX205" s="199"/>
      <c r="OWY205" s="199"/>
      <c r="OWZ205" s="199"/>
      <c r="OXA205" s="199"/>
      <c r="OXB205" s="199"/>
      <c r="OXC205" s="199"/>
      <c r="OXD205" s="199"/>
      <c r="OXE205" s="199"/>
      <c r="OXF205" s="199"/>
      <c r="OXG205" s="199"/>
      <c r="OXH205" s="199"/>
      <c r="OXI205" s="199"/>
      <c r="OXJ205" s="199"/>
      <c r="OXK205" s="199"/>
      <c r="OXL205" s="199"/>
      <c r="OXM205" s="199"/>
      <c r="OXN205" s="199"/>
      <c r="OXO205" s="199"/>
      <c r="OXP205" s="199"/>
      <c r="OXQ205" s="199"/>
      <c r="OXR205" s="199"/>
      <c r="OXS205" s="199"/>
      <c r="OXT205" s="199"/>
      <c r="OXU205" s="199"/>
      <c r="OXV205" s="199"/>
      <c r="OXW205" s="199"/>
      <c r="OXX205" s="199"/>
      <c r="OXY205" s="199"/>
      <c r="OXZ205" s="199"/>
      <c r="OYA205" s="199"/>
      <c r="OYB205" s="199"/>
      <c r="OYC205" s="199"/>
      <c r="OYD205" s="199"/>
      <c r="OYE205" s="199"/>
      <c r="OYF205" s="199"/>
      <c r="OYG205" s="199"/>
      <c r="OYH205" s="199"/>
      <c r="OYI205" s="199"/>
      <c r="OYJ205" s="199"/>
      <c r="OYK205" s="199"/>
      <c r="OYL205" s="199"/>
      <c r="OYM205" s="199"/>
      <c r="OYN205" s="199"/>
      <c r="OYO205" s="199"/>
      <c r="OYP205" s="199"/>
      <c r="OYQ205" s="199"/>
      <c r="OYR205" s="199"/>
      <c r="OYS205" s="199"/>
      <c r="OYT205" s="199"/>
      <c r="OYU205" s="199"/>
      <c r="OYV205" s="199"/>
      <c r="OYW205" s="199"/>
      <c r="OYX205" s="199"/>
      <c r="OYY205" s="199"/>
      <c r="OYZ205" s="199"/>
      <c r="OZA205" s="199"/>
      <c r="OZB205" s="199"/>
      <c r="OZC205" s="199"/>
      <c r="OZD205" s="199"/>
      <c r="OZE205" s="199"/>
      <c r="OZF205" s="199"/>
      <c r="OZG205" s="199"/>
      <c r="OZH205" s="199"/>
      <c r="OZI205" s="199"/>
      <c r="OZJ205" s="199"/>
      <c r="OZK205" s="199"/>
      <c r="OZL205" s="199"/>
      <c r="OZM205" s="199"/>
      <c r="OZN205" s="199"/>
      <c r="OZO205" s="199"/>
      <c r="OZP205" s="199"/>
      <c r="OZQ205" s="199"/>
      <c r="OZR205" s="199"/>
      <c r="OZS205" s="199"/>
      <c r="OZT205" s="199"/>
      <c r="OZU205" s="199"/>
      <c r="OZV205" s="199"/>
      <c r="OZW205" s="199"/>
      <c r="OZX205" s="199"/>
      <c r="OZY205" s="199"/>
      <c r="OZZ205" s="199"/>
      <c r="PAA205" s="199"/>
      <c r="PAB205" s="199"/>
      <c r="PAC205" s="199"/>
      <c r="PAD205" s="199"/>
      <c r="PAE205" s="199"/>
      <c r="PAF205" s="199"/>
      <c r="PAG205" s="199"/>
      <c r="PAH205" s="199"/>
      <c r="PAI205" s="199"/>
      <c r="PAJ205" s="199"/>
      <c r="PAK205" s="199"/>
      <c r="PAL205" s="199"/>
      <c r="PAM205" s="199"/>
      <c r="PAN205" s="199"/>
      <c r="PAO205" s="199"/>
      <c r="PAP205" s="199"/>
      <c r="PAQ205" s="199"/>
      <c r="PAR205" s="199"/>
      <c r="PAS205" s="199"/>
      <c r="PAT205" s="199"/>
      <c r="PAU205" s="199"/>
      <c r="PAV205" s="199"/>
      <c r="PAW205" s="199"/>
      <c r="PAX205" s="199"/>
      <c r="PAY205" s="199"/>
      <c r="PAZ205" s="199"/>
      <c r="PBA205" s="199"/>
      <c r="PBB205" s="199"/>
      <c r="PBC205" s="199"/>
      <c r="PBD205" s="199"/>
      <c r="PBE205" s="199"/>
      <c r="PBF205" s="199"/>
      <c r="PBG205" s="199"/>
      <c r="PBH205" s="199"/>
      <c r="PBI205" s="199"/>
      <c r="PBJ205" s="199"/>
      <c r="PBK205" s="199"/>
      <c r="PBL205" s="199"/>
      <c r="PBM205" s="199"/>
      <c r="PBN205" s="199"/>
      <c r="PBO205" s="199"/>
      <c r="PBP205" s="199"/>
      <c r="PBQ205" s="199"/>
      <c r="PBR205" s="199"/>
      <c r="PBS205" s="199"/>
      <c r="PBT205" s="199"/>
      <c r="PBU205" s="199"/>
      <c r="PBV205" s="199"/>
      <c r="PBW205" s="199"/>
      <c r="PBX205" s="199"/>
      <c r="PBY205" s="199"/>
      <c r="PBZ205" s="199"/>
      <c r="PCA205" s="199"/>
      <c r="PCB205" s="199"/>
      <c r="PCC205" s="199"/>
      <c r="PCD205" s="199"/>
      <c r="PCE205" s="199"/>
      <c r="PCF205" s="199"/>
      <c r="PCG205" s="199"/>
      <c r="PCH205" s="199"/>
      <c r="PCI205" s="199"/>
      <c r="PCJ205" s="199"/>
      <c r="PCK205" s="199"/>
      <c r="PCL205" s="199"/>
      <c r="PCM205" s="199"/>
      <c r="PCN205" s="199"/>
      <c r="PCO205" s="199"/>
      <c r="PCP205" s="199"/>
      <c r="PCQ205" s="199"/>
      <c r="PCR205" s="199"/>
      <c r="PCS205" s="199"/>
      <c r="PCT205" s="199"/>
      <c r="PCU205" s="199"/>
      <c r="PCV205" s="199"/>
      <c r="PCW205" s="199"/>
      <c r="PCX205" s="199"/>
      <c r="PCY205" s="199"/>
      <c r="PCZ205" s="199"/>
      <c r="PDA205" s="199"/>
      <c r="PDB205" s="199"/>
      <c r="PDC205" s="199"/>
      <c r="PDD205" s="199"/>
      <c r="PDE205" s="199"/>
      <c r="PDF205" s="199"/>
      <c r="PDG205" s="199"/>
      <c r="PDH205" s="199"/>
      <c r="PDI205" s="199"/>
      <c r="PDJ205" s="199"/>
      <c r="PDK205" s="199"/>
      <c r="PDL205" s="199"/>
      <c r="PDM205" s="199"/>
      <c r="PDN205" s="199"/>
      <c r="PDO205" s="199"/>
      <c r="PDP205" s="199"/>
      <c r="PDQ205" s="199"/>
      <c r="PDR205" s="199"/>
      <c r="PDS205" s="199"/>
      <c r="PDT205" s="199"/>
      <c r="PDU205" s="199"/>
      <c r="PDV205" s="199"/>
      <c r="PDW205" s="199"/>
      <c r="PDX205" s="199"/>
      <c r="PDY205" s="199"/>
      <c r="PDZ205" s="199"/>
      <c r="PEA205" s="199"/>
      <c r="PEB205" s="199"/>
      <c r="PEC205" s="199"/>
      <c r="PED205" s="199"/>
      <c r="PEE205" s="199"/>
      <c r="PEF205" s="199"/>
      <c r="PEG205" s="199"/>
      <c r="PEH205" s="199"/>
      <c r="PEI205" s="199"/>
      <c r="PEJ205" s="199"/>
      <c r="PEK205" s="199"/>
      <c r="PEL205" s="199"/>
      <c r="PEM205" s="199"/>
      <c r="PEN205" s="199"/>
      <c r="PEO205" s="199"/>
      <c r="PEP205" s="199"/>
      <c r="PEQ205" s="199"/>
      <c r="PER205" s="199"/>
      <c r="PES205" s="199"/>
      <c r="PET205" s="199"/>
      <c r="PEU205" s="199"/>
      <c r="PEV205" s="199"/>
      <c r="PEW205" s="199"/>
      <c r="PEX205" s="199"/>
      <c r="PEY205" s="199"/>
      <c r="PEZ205" s="199"/>
      <c r="PFA205" s="199"/>
      <c r="PFB205" s="199"/>
      <c r="PFC205" s="199"/>
      <c r="PFD205" s="199"/>
      <c r="PFE205" s="199"/>
      <c r="PFF205" s="199"/>
      <c r="PFG205" s="199"/>
      <c r="PFH205" s="199"/>
      <c r="PFI205" s="199"/>
      <c r="PFJ205" s="199"/>
      <c r="PFK205" s="199"/>
      <c r="PFL205" s="199"/>
      <c r="PFM205" s="199"/>
      <c r="PFN205" s="199"/>
      <c r="PFO205" s="199"/>
      <c r="PFP205" s="199"/>
      <c r="PFQ205" s="199"/>
      <c r="PFR205" s="199"/>
      <c r="PFS205" s="199"/>
      <c r="PFT205" s="199"/>
      <c r="PFU205" s="199"/>
      <c r="PFV205" s="199"/>
      <c r="PFW205" s="199"/>
      <c r="PFX205" s="199"/>
      <c r="PFY205" s="199"/>
      <c r="PFZ205" s="199"/>
      <c r="PGA205" s="199"/>
      <c r="PGB205" s="199"/>
      <c r="PGC205" s="199"/>
      <c r="PGD205" s="199"/>
      <c r="PGE205" s="199"/>
      <c r="PGF205" s="199"/>
      <c r="PGG205" s="199"/>
      <c r="PGH205" s="199"/>
      <c r="PGI205" s="199"/>
      <c r="PGJ205" s="199"/>
      <c r="PGK205" s="199"/>
      <c r="PGL205" s="199"/>
      <c r="PGM205" s="199"/>
      <c r="PGN205" s="199"/>
      <c r="PGO205" s="199"/>
      <c r="PGP205" s="199"/>
      <c r="PGQ205" s="199"/>
      <c r="PGR205" s="199"/>
      <c r="PGS205" s="199"/>
      <c r="PGT205" s="199"/>
      <c r="PGU205" s="199"/>
      <c r="PGV205" s="199"/>
      <c r="PGW205" s="199"/>
      <c r="PGX205" s="199"/>
      <c r="PGY205" s="199"/>
      <c r="PGZ205" s="199"/>
      <c r="PHA205" s="199"/>
      <c r="PHB205" s="199"/>
      <c r="PHC205" s="199"/>
      <c r="PHD205" s="199"/>
      <c r="PHE205" s="199"/>
      <c r="PHF205" s="199"/>
      <c r="PHG205" s="199"/>
      <c r="PHH205" s="199"/>
      <c r="PHI205" s="199"/>
      <c r="PHJ205" s="199"/>
      <c r="PHK205" s="199"/>
      <c r="PHL205" s="199"/>
      <c r="PHM205" s="199"/>
      <c r="PHN205" s="199"/>
      <c r="PHO205" s="199"/>
      <c r="PHP205" s="199"/>
      <c r="PHQ205" s="199"/>
      <c r="PHR205" s="199"/>
      <c r="PHS205" s="199"/>
      <c r="PHT205" s="199"/>
      <c r="PHU205" s="199"/>
      <c r="PHV205" s="199"/>
      <c r="PHW205" s="199"/>
      <c r="PHX205" s="199"/>
      <c r="PHY205" s="199"/>
      <c r="PHZ205" s="199"/>
      <c r="PIA205" s="199"/>
      <c r="PIB205" s="199"/>
      <c r="PIC205" s="199"/>
      <c r="PID205" s="199"/>
      <c r="PIE205" s="199"/>
      <c r="PIF205" s="199"/>
      <c r="PIG205" s="199"/>
      <c r="PIH205" s="199"/>
      <c r="PII205" s="199"/>
      <c r="PIJ205" s="199"/>
      <c r="PIK205" s="199"/>
      <c r="PIL205" s="199"/>
      <c r="PIM205" s="199"/>
      <c r="PIN205" s="199"/>
      <c r="PIO205" s="199"/>
      <c r="PIP205" s="199"/>
      <c r="PIQ205" s="199"/>
      <c r="PIR205" s="199"/>
      <c r="PIS205" s="199"/>
      <c r="PIT205" s="199"/>
      <c r="PIU205" s="199"/>
      <c r="PIV205" s="199"/>
      <c r="PIW205" s="199"/>
      <c r="PIX205" s="199"/>
      <c r="PIY205" s="199"/>
      <c r="PIZ205" s="199"/>
      <c r="PJA205" s="199"/>
      <c r="PJB205" s="199"/>
      <c r="PJC205" s="199"/>
      <c r="PJD205" s="199"/>
      <c r="PJE205" s="199"/>
      <c r="PJF205" s="199"/>
      <c r="PJG205" s="199"/>
      <c r="PJH205" s="199"/>
      <c r="PJI205" s="199"/>
      <c r="PJJ205" s="199"/>
      <c r="PJK205" s="199"/>
      <c r="PJL205" s="199"/>
      <c r="PJM205" s="199"/>
      <c r="PJN205" s="199"/>
      <c r="PJO205" s="199"/>
      <c r="PJP205" s="199"/>
      <c r="PJQ205" s="199"/>
      <c r="PJR205" s="199"/>
      <c r="PJS205" s="199"/>
      <c r="PJT205" s="199"/>
      <c r="PJU205" s="199"/>
      <c r="PJV205" s="199"/>
      <c r="PJW205" s="199"/>
      <c r="PJX205" s="199"/>
      <c r="PJY205" s="199"/>
      <c r="PJZ205" s="199"/>
      <c r="PKA205" s="199"/>
      <c r="PKB205" s="199"/>
      <c r="PKC205" s="199"/>
      <c r="PKD205" s="199"/>
      <c r="PKE205" s="199"/>
      <c r="PKF205" s="199"/>
      <c r="PKG205" s="199"/>
      <c r="PKH205" s="199"/>
      <c r="PKI205" s="199"/>
      <c r="PKJ205" s="199"/>
      <c r="PKK205" s="199"/>
      <c r="PKL205" s="199"/>
      <c r="PKM205" s="199"/>
      <c r="PKN205" s="199"/>
      <c r="PKO205" s="199"/>
      <c r="PKP205" s="199"/>
      <c r="PKQ205" s="199"/>
      <c r="PKR205" s="199"/>
      <c r="PKS205" s="199"/>
      <c r="PKT205" s="199"/>
      <c r="PKU205" s="199"/>
      <c r="PKV205" s="199"/>
      <c r="PKW205" s="199"/>
      <c r="PKX205" s="199"/>
      <c r="PKY205" s="199"/>
      <c r="PKZ205" s="199"/>
      <c r="PLA205" s="199"/>
      <c r="PLB205" s="199"/>
      <c r="PLC205" s="199"/>
      <c r="PLD205" s="199"/>
      <c r="PLE205" s="199"/>
      <c r="PLF205" s="199"/>
      <c r="PLG205" s="199"/>
      <c r="PLH205" s="199"/>
      <c r="PLI205" s="199"/>
      <c r="PLJ205" s="199"/>
      <c r="PLK205" s="199"/>
      <c r="PLL205" s="199"/>
      <c r="PLM205" s="199"/>
      <c r="PLN205" s="199"/>
      <c r="PLO205" s="199"/>
      <c r="PLP205" s="199"/>
      <c r="PLQ205" s="199"/>
      <c r="PLR205" s="199"/>
      <c r="PLS205" s="199"/>
      <c r="PLT205" s="199"/>
      <c r="PLU205" s="199"/>
      <c r="PLV205" s="199"/>
      <c r="PLW205" s="199"/>
      <c r="PLX205" s="199"/>
      <c r="PLY205" s="199"/>
      <c r="PLZ205" s="199"/>
      <c r="PMA205" s="199"/>
      <c r="PMB205" s="199"/>
      <c r="PMC205" s="199"/>
      <c r="PMD205" s="199"/>
      <c r="PME205" s="199"/>
      <c r="PMF205" s="199"/>
      <c r="PMG205" s="199"/>
      <c r="PMH205" s="199"/>
      <c r="PMI205" s="199"/>
      <c r="PMJ205" s="199"/>
      <c r="PMK205" s="199"/>
      <c r="PML205" s="199"/>
      <c r="PMM205" s="199"/>
      <c r="PMN205" s="199"/>
      <c r="PMO205" s="199"/>
      <c r="PMP205" s="199"/>
      <c r="PMQ205" s="199"/>
      <c r="PMR205" s="199"/>
      <c r="PMS205" s="199"/>
      <c r="PMT205" s="199"/>
      <c r="PMU205" s="199"/>
      <c r="PMV205" s="199"/>
      <c r="PMW205" s="199"/>
      <c r="PMX205" s="199"/>
      <c r="PMY205" s="199"/>
      <c r="PMZ205" s="199"/>
      <c r="PNA205" s="199"/>
      <c r="PNB205" s="199"/>
      <c r="PNC205" s="199"/>
      <c r="PND205" s="199"/>
      <c r="PNE205" s="199"/>
      <c r="PNF205" s="199"/>
      <c r="PNG205" s="199"/>
      <c r="PNH205" s="199"/>
      <c r="PNI205" s="199"/>
      <c r="PNJ205" s="199"/>
      <c r="PNK205" s="199"/>
      <c r="PNL205" s="199"/>
      <c r="PNM205" s="199"/>
      <c r="PNN205" s="199"/>
      <c r="PNO205" s="199"/>
      <c r="PNP205" s="199"/>
      <c r="PNQ205" s="199"/>
      <c r="PNR205" s="199"/>
      <c r="PNS205" s="199"/>
      <c r="PNT205" s="199"/>
      <c r="PNU205" s="199"/>
      <c r="PNV205" s="199"/>
      <c r="PNW205" s="199"/>
      <c r="PNX205" s="199"/>
      <c r="PNY205" s="199"/>
      <c r="PNZ205" s="199"/>
      <c r="POA205" s="199"/>
      <c r="POB205" s="199"/>
      <c r="POC205" s="199"/>
      <c r="POD205" s="199"/>
      <c r="POE205" s="199"/>
      <c r="POF205" s="199"/>
      <c r="POG205" s="199"/>
      <c r="POH205" s="199"/>
      <c r="POI205" s="199"/>
      <c r="POJ205" s="199"/>
      <c r="POK205" s="199"/>
      <c r="POL205" s="199"/>
      <c r="POM205" s="199"/>
      <c r="PON205" s="199"/>
      <c r="POO205" s="199"/>
      <c r="POP205" s="199"/>
      <c r="POQ205" s="199"/>
      <c r="POR205" s="199"/>
      <c r="POS205" s="199"/>
      <c r="POT205" s="199"/>
      <c r="POU205" s="199"/>
      <c r="POV205" s="199"/>
      <c r="POW205" s="199"/>
      <c r="POX205" s="199"/>
      <c r="POY205" s="199"/>
      <c r="POZ205" s="199"/>
      <c r="PPA205" s="199"/>
      <c r="PPB205" s="199"/>
      <c r="PPC205" s="199"/>
      <c r="PPD205" s="199"/>
      <c r="PPE205" s="199"/>
      <c r="PPF205" s="199"/>
      <c r="PPG205" s="199"/>
      <c r="PPH205" s="199"/>
      <c r="PPI205" s="199"/>
      <c r="PPJ205" s="199"/>
      <c r="PPK205" s="199"/>
      <c r="PPL205" s="199"/>
      <c r="PPM205" s="199"/>
      <c r="PPN205" s="199"/>
      <c r="PPO205" s="199"/>
      <c r="PPP205" s="199"/>
      <c r="PPQ205" s="199"/>
      <c r="PPR205" s="199"/>
      <c r="PPS205" s="199"/>
      <c r="PPT205" s="199"/>
      <c r="PPU205" s="199"/>
      <c r="PPV205" s="199"/>
      <c r="PPW205" s="199"/>
      <c r="PPX205" s="199"/>
      <c r="PPY205" s="199"/>
      <c r="PPZ205" s="199"/>
      <c r="PQA205" s="199"/>
      <c r="PQB205" s="199"/>
      <c r="PQC205" s="199"/>
      <c r="PQD205" s="199"/>
      <c r="PQE205" s="199"/>
      <c r="PQF205" s="199"/>
      <c r="PQG205" s="199"/>
      <c r="PQH205" s="199"/>
      <c r="PQI205" s="199"/>
      <c r="PQJ205" s="199"/>
      <c r="PQK205" s="199"/>
      <c r="PQL205" s="199"/>
      <c r="PQM205" s="199"/>
      <c r="PQN205" s="199"/>
      <c r="PQO205" s="199"/>
      <c r="PQP205" s="199"/>
      <c r="PQQ205" s="199"/>
      <c r="PQR205" s="199"/>
      <c r="PQS205" s="199"/>
      <c r="PQT205" s="199"/>
      <c r="PQU205" s="199"/>
      <c r="PQV205" s="199"/>
      <c r="PQW205" s="199"/>
      <c r="PQX205" s="199"/>
      <c r="PQY205" s="199"/>
      <c r="PQZ205" s="199"/>
      <c r="PRA205" s="199"/>
      <c r="PRB205" s="199"/>
      <c r="PRC205" s="199"/>
      <c r="PRD205" s="199"/>
      <c r="PRE205" s="199"/>
      <c r="PRF205" s="199"/>
      <c r="PRG205" s="199"/>
      <c r="PRH205" s="199"/>
      <c r="PRI205" s="199"/>
      <c r="PRJ205" s="199"/>
      <c r="PRK205" s="199"/>
      <c r="PRL205" s="199"/>
      <c r="PRM205" s="199"/>
      <c r="PRN205" s="199"/>
      <c r="PRO205" s="199"/>
      <c r="PRP205" s="199"/>
      <c r="PRQ205" s="199"/>
      <c r="PRR205" s="199"/>
      <c r="PRS205" s="199"/>
      <c r="PRT205" s="199"/>
      <c r="PRU205" s="199"/>
      <c r="PRV205" s="199"/>
      <c r="PRW205" s="199"/>
      <c r="PRX205" s="199"/>
      <c r="PRY205" s="199"/>
      <c r="PRZ205" s="199"/>
      <c r="PSA205" s="199"/>
      <c r="PSB205" s="199"/>
      <c r="PSC205" s="199"/>
      <c r="PSD205" s="199"/>
      <c r="PSE205" s="199"/>
      <c r="PSF205" s="199"/>
      <c r="PSG205" s="199"/>
      <c r="PSH205" s="199"/>
      <c r="PSI205" s="199"/>
      <c r="PSJ205" s="199"/>
      <c r="PSK205" s="199"/>
      <c r="PSL205" s="199"/>
      <c r="PSM205" s="199"/>
      <c r="PSN205" s="199"/>
      <c r="PSO205" s="199"/>
      <c r="PSP205" s="199"/>
      <c r="PSQ205" s="199"/>
      <c r="PSR205" s="199"/>
      <c r="PSS205" s="199"/>
      <c r="PST205" s="199"/>
      <c r="PSU205" s="199"/>
      <c r="PSV205" s="199"/>
      <c r="PSW205" s="199"/>
      <c r="PSX205" s="199"/>
      <c r="PSY205" s="199"/>
      <c r="PSZ205" s="199"/>
      <c r="PTA205" s="199"/>
      <c r="PTB205" s="199"/>
      <c r="PTC205" s="199"/>
      <c r="PTD205" s="199"/>
      <c r="PTE205" s="199"/>
      <c r="PTF205" s="199"/>
      <c r="PTG205" s="199"/>
      <c r="PTH205" s="199"/>
      <c r="PTI205" s="199"/>
      <c r="PTJ205" s="199"/>
      <c r="PTK205" s="199"/>
      <c r="PTL205" s="199"/>
      <c r="PTM205" s="199"/>
      <c r="PTN205" s="199"/>
      <c r="PTO205" s="199"/>
      <c r="PTP205" s="199"/>
      <c r="PTQ205" s="199"/>
      <c r="PTR205" s="199"/>
      <c r="PTS205" s="199"/>
      <c r="PTT205" s="199"/>
      <c r="PTU205" s="199"/>
      <c r="PTV205" s="199"/>
      <c r="PTW205" s="199"/>
      <c r="PTX205" s="199"/>
      <c r="PTY205" s="199"/>
      <c r="PTZ205" s="199"/>
      <c r="PUA205" s="199"/>
      <c r="PUB205" s="199"/>
      <c r="PUC205" s="199"/>
      <c r="PUD205" s="199"/>
      <c r="PUE205" s="199"/>
      <c r="PUF205" s="199"/>
      <c r="PUG205" s="199"/>
      <c r="PUH205" s="199"/>
      <c r="PUI205" s="199"/>
      <c r="PUJ205" s="199"/>
      <c r="PUK205" s="199"/>
      <c r="PUL205" s="199"/>
      <c r="PUM205" s="199"/>
      <c r="PUN205" s="199"/>
      <c r="PUO205" s="199"/>
      <c r="PUP205" s="199"/>
      <c r="PUQ205" s="199"/>
      <c r="PUR205" s="199"/>
      <c r="PUS205" s="199"/>
      <c r="PUT205" s="199"/>
      <c r="PUU205" s="199"/>
      <c r="PUV205" s="199"/>
      <c r="PUW205" s="199"/>
      <c r="PUX205" s="199"/>
      <c r="PUY205" s="199"/>
      <c r="PUZ205" s="199"/>
      <c r="PVA205" s="199"/>
      <c r="PVB205" s="199"/>
      <c r="PVC205" s="199"/>
      <c r="PVD205" s="199"/>
      <c r="PVE205" s="199"/>
      <c r="PVF205" s="199"/>
      <c r="PVG205" s="199"/>
      <c r="PVH205" s="199"/>
      <c r="PVI205" s="199"/>
      <c r="PVJ205" s="199"/>
      <c r="PVK205" s="199"/>
      <c r="PVL205" s="199"/>
      <c r="PVM205" s="199"/>
      <c r="PVN205" s="199"/>
      <c r="PVO205" s="199"/>
      <c r="PVP205" s="199"/>
      <c r="PVQ205" s="199"/>
      <c r="PVR205" s="199"/>
      <c r="PVS205" s="199"/>
      <c r="PVT205" s="199"/>
      <c r="PVU205" s="199"/>
      <c r="PVV205" s="199"/>
      <c r="PVW205" s="199"/>
      <c r="PVX205" s="199"/>
      <c r="PVY205" s="199"/>
      <c r="PVZ205" s="199"/>
      <c r="PWA205" s="199"/>
      <c r="PWB205" s="199"/>
      <c r="PWC205" s="199"/>
      <c r="PWD205" s="199"/>
      <c r="PWE205" s="199"/>
      <c r="PWF205" s="199"/>
      <c r="PWG205" s="199"/>
      <c r="PWH205" s="199"/>
      <c r="PWI205" s="199"/>
      <c r="PWJ205" s="199"/>
      <c r="PWK205" s="199"/>
      <c r="PWL205" s="199"/>
      <c r="PWM205" s="199"/>
      <c r="PWN205" s="199"/>
      <c r="PWO205" s="199"/>
      <c r="PWP205" s="199"/>
      <c r="PWQ205" s="199"/>
      <c r="PWR205" s="199"/>
      <c r="PWS205" s="199"/>
      <c r="PWT205" s="199"/>
      <c r="PWU205" s="199"/>
      <c r="PWV205" s="199"/>
      <c r="PWW205" s="199"/>
      <c r="PWX205" s="199"/>
      <c r="PWY205" s="199"/>
      <c r="PWZ205" s="199"/>
      <c r="PXA205" s="199"/>
      <c r="PXB205" s="199"/>
      <c r="PXC205" s="199"/>
      <c r="PXD205" s="199"/>
      <c r="PXE205" s="199"/>
      <c r="PXF205" s="199"/>
      <c r="PXG205" s="199"/>
      <c r="PXH205" s="199"/>
      <c r="PXI205" s="199"/>
      <c r="PXJ205" s="199"/>
      <c r="PXK205" s="199"/>
      <c r="PXL205" s="199"/>
      <c r="PXM205" s="199"/>
      <c r="PXN205" s="199"/>
      <c r="PXO205" s="199"/>
      <c r="PXP205" s="199"/>
      <c r="PXQ205" s="199"/>
      <c r="PXR205" s="199"/>
      <c r="PXS205" s="199"/>
      <c r="PXT205" s="199"/>
      <c r="PXU205" s="199"/>
      <c r="PXV205" s="199"/>
      <c r="PXW205" s="199"/>
      <c r="PXX205" s="199"/>
      <c r="PXY205" s="199"/>
      <c r="PXZ205" s="199"/>
      <c r="PYA205" s="199"/>
      <c r="PYB205" s="199"/>
      <c r="PYC205" s="199"/>
      <c r="PYD205" s="199"/>
      <c r="PYE205" s="199"/>
      <c r="PYF205" s="199"/>
      <c r="PYG205" s="199"/>
      <c r="PYH205" s="199"/>
      <c r="PYI205" s="199"/>
      <c r="PYJ205" s="199"/>
      <c r="PYK205" s="199"/>
      <c r="PYL205" s="199"/>
      <c r="PYM205" s="199"/>
      <c r="PYN205" s="199"/>
      <c r="PYO205" s="199"/>
      <c r="PYP205" s="199"/>
      <c r="PYQ205" s="199"/>
      <c r="PYR205" s="199"/>
      <c r="PYS205" s="199"/>
      <c r="PYT205" s="199"/>
      <c r="PYU205" s="199"/>
      <c r="PYV205" s="199"/>
      <c r="PYW205" s="199"/>
      <c r="PYX205" s="199"/>
      <c r="PYY205" s="199"/>
      <c r="PYZ205" s="199"/>
      <c r="PZA205" s="199"/>
      <c r="PZB205" s="199"/>
      <c r="PZC205" s="199"/>
      <c r="PZD205" s="199"/>
      <c r="PZE205" s="199"/>
      <c r="PZF205" s="199"/>
      <c r="PZG205" s="199"/>
      <c r="PZH205" s="199"/>
      <c r="PZI205" s="199"/>
      <c r="PZJ205" s="199"/>
      <c r="PZK205" s="199"/>
      <c r="PZL205" s="199"/>
      <c r="PZM205" s="199"/>
      <c r="PZN205" s="199"/>
      <c r="PZO205" s="199"/>
      <c r="PZP205" s="199"/>
      <c r="PZQ205" s="199"/>
      <c r="PZR205" s="199"/>
      <c r="PZS205" s="199"/>
      <c r="PZT205" s="199"/>
      <c r="PZU205" s="199"/>
      <c r="PZV205" s="199"/>
      <c r="PZW205" s="199"/>
      <c r="PZX205" s="199"/>
      <c r="PZY205" s="199"/>
      <c r="PZZ205" s="199"/>
      <c r="QAA205" s="199"/>
      <c r="QAB205" s="199"/>
      <c r="QAC205" s="199"/>
      <c r="QAD205" s="199"/>
      <c r="QAE205" s="199"/>
      <c r="QAF205" s="199"/>
      <c r="QAG205" s="199"/>
      <c r="QAH205" s="199"/>
      <c r="QAI205" s="199"/>
      <c r="QAJ205" s="199"/>
      <c r="QAK205" s="199"/>
      <c r="QAL205" s="199"/>
      <c r="QAM205" s="199"/>
      <c r="QAN205" s="199"/>
      <c r="QAO205" s="199"/>
      <c r="QAP205" s="199"/>
      <c r="QAQ205" s="199"/>
      <c r="QAR205" s="199"/>
      <c r="QAS205" s="199"/>
      <c r="QAT205" s="199"/>
      <c r="QAU205" s="199"/>
      <c r="QAV205" s="199"/>
      <c r="QAW205" s="199"/>
      <c r="QAX205" s="199"/>
      <c r="QAY205" s="199"/>
      <c r="QAZ205" s="199"/>
      <c r="QBA205" s="199"/>
      <c r="QBB205" s="199"/>
      <c r="QBC205" s="199"/>
      <c r="QBD205" s="199"/>
      <c r="QBE205" s="199"/>
      <c r="QBF205" s="199"/>
      <c r="QBG205" s="199"/>
      <c r="QBH205" s="199"/>
      <c r="QBI205" s="199"/>
      <c r="QBJ205" s="199"/>
      <c r="QBK205" s="199"/>
      <c r="QBL205" s="199"/>
      <c r="QBM205" s="199"/>
      <c r="QBN205" s="199"/>
      <c r="QBO205" s="199"/>
      <c r="QBP205" s="199"/>
      <c r="QBQ205" s="199"/>
      <c r="QBR205" s="199"/>
      <c r="QBS205" s="199"/>
      <c r="QBT205" s="199"/>
      <c r="QBU205" s="199"/>
      <c r="QBV205" s="199"/>
      <c r="QBW205" s="199"/>
      <c r="QBX205" s="199"/>
      <c r="QBY205" s="199"/>
      <c r="QBZ205" s="199"/>
      <c r="QCA205" s="199"/>
      <c r="QCB205" s="199"/>
      <c r="QCC205" s="199"/>
      <c r="QCD205" s="199"/>
      <c r="QCE205" s="199"/>
      <c r="QCF205" s="199"/>
      <c r="QCG205" s="199"/>
      <c r="QCH205" s="199"/>
      <c r="QCI205" s="199"/>
      <c r="QCJ205" s="199"/>
      <c r="QCK205" s="199"/>
      <c r="QCL205" s="199"/>
      <c r="QCM205" s="199"/>
      <c r="QCN205" s="199"/>
      <c r="QCO205" s="199"/>
      <c r="QCP205" s="199"/>
      <c r="QCQ205" s="199"/>
      <c r="QCR205" s="199"/>
      <c r="QCS205" s="199"/>
      <c r="QCT205" s="199"/>
      <c r="QCU205" s="199"/>
      <c r="QCV205" s="199"/>
      <c r="QCW205" s="199"/>
      <c r="QCX205" s="199"/>
      <c r="QCY205" s="199"/>
      <c r="QCZ205" s="199"/>
      <c r="QDA205" s="199"/>
      <c r="QDB205" s="199"/>
      <c r="QDC205" s="199"/>
      <c r="QDD205" s="199"/>
      <c r="QDE205" s="199"/>
      <c r="QDF205" s="199"/>
      <c r="QDG205" s="199"/>
      <c r="QDH205" s="199"/>
      <c r="QDI205" s="199"/>
      <c r="QDJ205" s="199"/>
      <c r="QDK205" s="199"/>
      <c r="QDL205" s="199"/>
      <c r="QDM205" s="199"/>
      <c r="QDN205" s="199"/>
      <c r="QDO205" s="199"/>
      <c r="QDP205" s="199"/>
      <c r="QDQ205" s="199"/>
      <c r="QDR205" s="199"/>
      <c r="QDS205" s="199"/>
      <c r="QDT205" s="199"/>
      <c r="QDU205" s="199"/>
      <c r="QDV205" s="199"/>
      <c r="QDW205" s="199"/>
      <c r="QDX205" s="199"/>
      <c r="QDY205" s="199"/>
      <c r="QDZ205" s="199"/>
      <c r="QEA205" s="199"/>
      <c r="QEB205" s="199"/>
      <c r="QEC205" s="199"/>
      <c r="QED205" s="199"/>
      <c r="QEE205" s="199"/>
      <c r="QEF205" s="199"/>
      <c r="QEG205" s="199"/>
      <c r="QEH205" s="199"/>
      <c r="QEI205" s="199"/>
      <c r="QEJ205" s="199"/>
      <c r="QEK205" s="199"/>
      <c r="QEL205" s="199"/>
      <c r="QEM205" s="199"/>
      <c r="QEN205" s="199"/>
      <c r="QEO205" s="199"/>
      <c r="QEP205" s="199"/>
      <c r="QEQ205" s="199"/>
      <c r="QER205" s="199"/>
      <c r="QES205" s="199"/>
      <c r="QET205" s="199"/>
      <c r="QEU205" s="199"/>
      <c r="QEV205" s="199"/>
      <c r="QEW205" s="199"/>
      <c r="QEX205" s="199"/>
      <c r="QEY205" s="199"/>
      <c r="QEZ205" s="199"/>
      <c r="QFA205" s="199"/>
      <c r="QFB205" s="199"/>
      <c r="QFC205" s="199"/>
      <c r="QFD205" s="199"/>
      <c r="QFE205" s="199"/>
      <c r="QFF205" s="199"/>
      <c r="QFG205" s="199"/>
      <c r="QFH205" s="199"/>
      <c r="QFI205" s="199"/>
      <c r="QFJ205" s="199"/>
      <c r="QFK205" s="199"/>
      <c r="QFL205" s="199"/>
      <c r="QFM205" s="199"/>
      <c r="QFN205" s="199"/>
      <c r="QFO205" s="199"/>
      <c r="QFP205" s="199"/>
      <c r="QFQ205" s="199"/>
      <c r="QFR205" s="199"/>
      <c r="QFS205" s="199"/>
      <c r="QFT205" s="199"/>
      <c r="QFU205" s="199"/>
      <c r="QFV205" s="199"/>
      <c r="QFW205" s="199"/>
      <c r="QFX205" s="199"/>
      <c r="QFY205" s="199"/>
      <c r="QFZ205" s="199"/>
      <c r="QGA205" s="199"/>
      <c r="QGB205" s="199"/>
      <c r="QGC205" s="199"/>
      <c r="QGD205" s="199"/>
      <c r="QGE205" s="199"/>
      <c r="QGF205" s="199"/>
      <c r="QGG205" s="199"/>
      <c r="QGH205" s="199"/>
      <c r="QGI205" s="199"/>
      <c r="QGJ205" s="199"/>
      <c r="QGK205" s="199"/>
      <c r="QGL205" s="199"/>
      <c r="QGM205" s="199"/>
      <c r="QGN205" s="199"/>
      <c r="QGO205" s="199"/>
      <c r="QGP205" s="199"/>
      <c r="QGQ205" s="199"/>
      <c r="QGR205" s="199"/>
      <c r="QGS205" s="199"/>
      <c r="QGT205" s="199"/>
      <c r="QGU205" s="199"/>
      <c r="QGV205" s="199"/>
      <c r="QGW205" s="199"/>
      <c r="QGX205" s="199"/>
      <c r="QGY205" s="199"/>
      <c r="QGZ205" s="199"/>
      <c r="QHA205" s="199"/>
      <c r="QHB205" s="199"/>
      <c r="QHC205" s="199"/>
      <c r="QHD205" s="199"/>
      <c r="QHE205" s="199"/>
      <c r="QHF205" s="199"/>
      <c r="QHG205" s="199"/>
      <c r="QHH205" s="199"/>
      <c r="QHI205" s="199"/>
      <c r="QHJ205" s="199"/>
      <c r="QHK205" s="199"/>
      <c r="QHL205" s="199"/>
      <c r="QHM205" s="199"/>
      <c r="QHN205" s="199"/>
      <c r="QHO205" s="199"/>
      <c r="QHP205" s="199"/>
      <c r="QHQ205" s="199"/>
      <c r="QHR205" s="199"/>
      <c r="QHS205" s="199"/>
      <c r="QHT205" s="199"/>
      <c r="QHU205" s="199"/>
      <c r="QHV205" s="199"/>
      <c r="QHW205" s="199"/>
      <c r="QHX205" s="199"/>
      <c r="QHY205" s="199"/>
      <c r="QHZ205" s="199"/>
      <c r="QIA205" s="199"/>
      <c r="QIB205" s="199"/>
      <c r="QIC205" s="199"/>
      <c r="QID205" s="199"/>
      <c r="QIE205" s="199"/>
      <c r="QIF205" s="199"/>
      <c r="QIG205" s="199"/>
      <c r="QIH205" s="199"/>
      <c r="QII205" s="199"/>
      <c r="QIJ205" s="199"/>
      <c r="QIK205" s="199"/>
      <c r="QIL205" s="199"/>
      <c r="QIM205" s="199"/>
      <c r="QIN205" s="199"/>
      <c r="QIO205" s="199"/>
      <c r="QIP205" s="199"/>
      <c r="QIQ205" s="199"/>
      <c r="QIR205" s="199"/>
      <c r="QIS205" s="199"/>
      <c r="QIT205" s="199"/>
      <c r="QIU205" s="199"/>
      <c r="QIV205" s="199"/>
      <c r="QIW205" s="199"/>
      <c r="QIX205" s="199"/>
      <c r="QIY205" s="199"/>
      <c r="QIZ205" s="199"/>
      <c r="QJA205" s="199"/>
      <c r="QJB205" s="199"/>
      <c r="QJC205" s="199"/>
      <c r="QJD205" s="199"/>
      <c r="QJE205" s="199"/>
      <c r="QJF205" s="199"/>
      <c r="QJG205" s="199"/>
      <c r="QJH205" s="199"/>
      <c r="QJI205" s="199"/>
      <c r="QJJ205" s="199"/>
      <c r="QJK205" s="199"/>
      <c r="QJL205" s="199"/>
      <c r="QJM205" s="199"/>
      <c r="QJN205" s="199"/>
      <c r="QJO205" s="199"/>
      <c r="QJP205" s="199"/>
      <c r="QJQ205" s="199"/>
      <c r="QJR205" s="199"/>
      <c r="QJS205" s="199"/>
      <c r="QJT205" s="199"/>
      <c r="QJU205" s="199"/>
      <c r="QJV205" s="199"/>
      <c r="QJW205" s="199"/>
      <c r="QJX205" s="199"/>
      <c r="QJY205" s="199"/>
      <c r="QJZ205" s="199"/>
      <c r="QKA205" s="199"/>
      <c r="QKB205" s="199"/>
      <c r="QKC205" s="199"/>
      <c r="QKD205" s="199"/>
      <c r="QKE205" s="199"/>
      <c r="QKF205" s="199"/>
      <c r="QKG205" s="199"/>
      <c r="QKH205" s="199"/>
      <c r="QKI205" s="199"/>
      <c r="QKJ205" s="199"/>
      <c r="QKK205" s="199"/>
      <c r="QKL205" s="199"/>
      <c r="QKM205" s="199"/>
      <c r="QKN205" s="199"/>
      <c r="QKO205" s="199"/>
      <c r="QKP205" s="199"/>
      <c r="QKQ205" s="199"/>
      <c r="QKR205" s="199"/>
      <c r="QKS205" s="199"/>
      <c r="QKT205" s="199"/>
      <c r="QKU205" s="199"/>
      <c r="QKV205" s="199"/>
      <c r="QKW205" s="199"/>
      <c r="QKX205" s="199"/>
      <c r="QKY205" s="199"/>
      <c r="QKZ205" s="199"/>
      <c r="QLA205" s="199"/>
      <c r="QLB205" s="199"/>
      <c r="QLC205" s="199"/>
      <c r="QLD205" s="199"/>
      <c r="QLE205" s="199"/>
      <c r="QLF205" s="199"/>
      <c r="QLG205" s="199"/>
      <c r="QLH205" s="199"/>
      <c r="QLI205" s="199"/>
      <c r="QLJ205" s="199"/>
      <c r="QLK205" s="199"/>
      <c r="QLL205" s="199"/>
      <c r="QLM205" s="199"/>
      <c r="QLN205" s="199"/>
      <c r="QLO205" s="199"/>
      <c r="QLP205" s="199"/>
      <c r="QLQ205" s="199"/>
      <c r="QLR205" s="199"/>
      <c r="QLS205" s="199"/>
      <c r="QLT205" s="199"/>
      <c r="QLU205" s="199"/>
      <c r="QLV205" s="199"/>
      <c r="QLW205" s="199"/>
      <c r="QLX205" s="199"/>
      <c r="QLY205" s="199"/>
      <c r="QLZ205" s="199"/>
      <c r="QMA205" s="199"/>
      <c r="QMB205" s="199"/>
      <c r="QMC205" s="199"/>
      <c r="QMD205" s="199"/>
      <c r="QME205" s="199"/>
      <c r="QMF205" s="199"/>
      <c r="QMG205" s="199"/>
      <c r="QMH205" s="199"/>
      <c r="QMI205" s="199"/>
      <c r="QMJ205" s="199"/>
      <c r="QMK205" s="199"/>
      <c r="QML205" s="199"/>
      <c r="QMM205" s="199"/>
      <c r="QMN205" s="199"/>
      <c r="QMO205" s="199"/>
      <c r="QMP205" s="199"/>
      <c r="QMQ205" s="199"/>
      <c r="QMR205" s="199"/>
      <c r="QMS205" s="199"/>
      <c r="QMT205" s="199"/>
      <c r="QMU205" s="199"/>
      <c r="QMV205" s="199"/>
      <c r="QMW205" s="199"/>
      <c r="QMX205" s="199"/>
      <c r="QMY205" s="199"/>
      <c r="QMZ205" s="199"/>
      <c r="QNA205" s="199"/>
      <c r="QNB205" s="199"/>
      <c r="QNC205" s="199"/>
      <c r="QND205" s="199"/>
      <c r="QNE205" s="199"/>
      <c r="QNF205" s="199"/>
      <c r="QNG205" s="199"/>
      <c r="QNH205" s="199"/>
      <c r="QNI205" s="199"/>
      <c r="QNJ205" s="199"/>
      <c r="QNK205" s="199"/>
      <c r="QNL205" s="199"/>
      <c r="QNM205" s="199"/>
      <c r="QNN205" s="199"/>
      <c r="QNO205" s="199"/>
      <c r="QNP205" s="199"/>
      <c r="QNQ205" s="199"/>
      <c r="QNR205" s="199"/>
      <c r="QNS205" s="199"/>
      <c r="QNT205" s="199"/>
      <c r="QNU205" s="199"/>
      <c r="QNV205" s="199"/>
      <c r="QNW205" s="199"/>
      <c r="QNX205" s="199"/>
      <c r="QNY205" s="199"/>
      <c r="QNZ205" s="199"/>
      <c r="QOA205" s="199"/>
      <c r="QOB205" s="199"/>
      <c r="QOC205" s="199"/>
      <c r="QOD205" s="199"/>
      <c r="QOE205" s="199"/>
      <c r="QOF205" s="199"/>
      <c r="QOG205" s="199"/>
      <c r="QOH205" s="199"/>
      <c r="QOI205" s="199"/>
      <c r="QOJ205" s="199"/>
      <c r="QOK205" s="199"/>
      <c r="QOL205" s="199"/>
      <c r="QOM205" s="199"/>
      <c r="QON205" s="199"/>
      <c r="QOO205" s="199"/>
      <c r="QOP205" s="199"/>
      <c r="QOQ205" s="199"/>
      <c r="QOR205" s="199"/>
      <c r="QOS205" s="199"/>
      <c r="QOT205" s="199"/>
      <c r="QOU205" s="199"/>
      <c r="QOV205" s="199"/>
      <c r="QOW205" s="199"/>
      <c r="QOX205" s="199"/>
      <c r="QOY205" s="199"/>
      <c r="QOZ205" s="199"/>
      <c r="QPA205" s="199"/>
      <c r="QPB205" s="199"/>
      <c r="QPC205" s="199"/>
      <c r="QPD205" s="199"/>
      <c r="QPE205" s="199"/>
      <c r="QPF205" s="199"/>
      <c r="QPG205" s="199"/>
      <c r="QPH205" s="199"/>
      <c r="QPI205" s="199"/>
      <c r="QPJ205" s="199"/>
      <c r="QPK205" s="199"/>
      <c r="QPL205" s="199"/>
      <c r="QPM205" s="199"/>
      <c r="QPN205" s="199"/>
      <c r="QPO205" s="199"/>
      <c r="QPP205" s="199"/>
      <c r="QPQ205" s="199"/>
      <c r="QPR205" s="199"/>
      <c r="QPS205" s="199"/>
      <c r="QPT205" s="199"/>
      <c r="QPU205" s="199"/>
      <c r="QPV205" s="199"/>
      <c r="QPW205" s="199"/>
      <c r="QPX205" s="199"/>
      <c r="QPY205" s="199"/>
      <c r="QPZ205" s="199"/>
      <c r="QQA205" s="199"/>
      <c r="QQB205" s="199"/>
      <c r="QQC205" s="199"/>
      <c r="QQD205" s="199"/>
      <c r="QQE205" s="199"/>
      <c r="QQF205" s="199"/>
      <c r="QQG205" s="199"/>
      <c r="QQH205" s="199"/>
      <c r="QQI205" s="199"/>
      <c r="QQJ205" s="199"/>
      <c r="QQK205" s="199"/>
      <c r="QQL205" s="199"/>
      <c r="QQM205" s="199"/>
      <c r="QQN205" s="199"/>
      <c r="QQO205" s="199"/>
      <c r="QQP205" s="199"/>
      <c r="QQQ205" s="199"/>
      <c r="QQR205" s="199"/>
      <c r="QQS205" s="199"/>
      <c r="QQT205" s="199"/>
      <c r="QQU205" s="199"/>
      <c r="QQV205" s="199"/>
      <c r="QQW205" s="199"/>
      <c r="QQX205" s="199"/>
      <c r="QQY205" s="199"/>
      <c r="QQZ205" s="199"/>
      <c r="QRA205" s="199"/>
      <c r="QRB205" s="199"/>
      <c r="QRC205" s="199"/>
      <c r="QRD205" s="199"/>
      <c r="QRE205" s="199"/>
      <c r="QRF205" s="199"/>
      <c r="QRG205" s="199"/>
      <c r="QRH205" s="199"/>
      <c r="QRI205" s="199"/>
      <c r="QRJ205" s="199"/>
      <c r="QRK205" s="199"/>
      <c r="QRL205" s="199"/>
      <c r="QRM205" s="199"/>
      <c r="QRN205" s="199"/>
      <c r="QRO205" s="199"/>
      <c r="QRP205" s="199"/>
      <c r="QRQ205" s="199"/>
      <c r="QRR205" s="199"/>
      <c r="QRS205" s="199"/>
      <c r="QRT205" s="199"/>
      <c r="QRU205" s="199"/>
      <c r="QRV205" s="199"/>
      <c r="QRW205" s="199"/>
      <c r="QRX205" s="199"/>
      <c r="QRY205" s="199"/>
      <c r="QRZ205" s="199"/>
      <c r="QSA205" s="199"/>
      <c r="QSB205" s="199"/>
      <c r="QSC205" s="199"/>
      <c r="QSD205" s="199"/>
      <c r="QSE205" s="199"/>
      <c r="QSF205" s="199"/>
      <c r="QSG205" s="199"/>
      <c r="QSH205" s="199"/>
      <c r="QSI205" s="199"/>
      <c r="QSJ205" s="199"/>
      <c r="QSK205" s="199"/>
      <c r="QSL205" s="199"/>
      <c r="QSM205" s="199"/>
      <c r="QSN205" s="199"/>
      <c r="QSO205" s="199"/>
      <c r="QSP205" s="199"/>
      <c r="QSQ205" s="199"/>
      <c r="QSR205" s="199"/>
      <c r="QSS205" s="199"/>
      <c r="QST205" s="199"/>
      <c r="QSU205" s="199"/>
      <c r="QSV205" s="199"/>
      <c r="QSW205" s="199"/>
      <c r="QSX205" s="199"/>
      <c r="QSY205" s="199"/>
      <c r="QSZ205" s="199"/>
      <c r="QTA205" s="199"/>
      <c r="QTB205" s="199"/>
      <c r="QTC205" s="199"/>
      <c r="QTD205" s="199"/>
      <c r="QTE205" s="199"/>
      <c r="QTF205" s="199"/>
      <c r="QTG205" s="199"/>
      <c r="QTH205" s="199"/>
      <c r="QTI205" s="199"/>
      <c r="QTJ205" s="199"/>
      <c r="QTK205" s="199"/>
      <c r="QTL205" s="199"/>
      <c r="QTM205" s="199"/>
      <c r="QTN205" s="199"/>
      <c r="QTO205" s="199"/>
      <c r="QTP205" s="199"/>
      <c r="QTQ205" s="199"/>
      <c r="QTR205" s="199"/>
      <c r="QTS205" s="199"/>
      <c r="QTT205" s="199"/>
      <c r="QTU205" s="199"/>
      <c r="QTV205" s="199"/>
      <c r="QTW205" s="199"/>
      <c r="QTX205" s="199"/>
      <c r="QTY205" s="199"/>
      <c r="QTZ205" s="199"/>
      <c r="QUA205" s="199"/>
      <c r="QUB205" s="199"/>
      <c r="QUC205" s="199"/>
      <c r="QUD205" s="199"/>
      <c r="QUE205" s="199"/>
      <c r="QUF205" s="199"/>
      <c r="QUG205" s="199"/>
      <c r="QUH205" s="199"/>
      <c r="QUI205" s="199"/>
      <c r="QUJ205" s="199"/>
      <c r="QUK205" s="199"/>
      <c r="QUL205" s="199"/>
      <c r="QUM205" s="199"/>
      <c r="QUN205" s="199"/>
      <c r="QUO205" s="199"/>
      <c r="QUP205" s="199"/>
      <c r="QUQ205" s="199"/>
      <c r="QUR205" s="199"/>
      <c r="QUS205" s="199"/>
      <c r="QUT205" s="199"/>
      <c r="QUU205" s="199"/>
      <c r="QUV205" s="199"/>
      <c r="QUW205" s="199"/>
      <c r="QUX205" s="199"/>
      <c r="QUY205" s="199"/>
      <c r="QUZ205" s="199"/>
      <c r="QVA205" s="199"/>
      <c r="QVB205" s="199"/>
      <c r="QVC205" s="199"/>
      <c r="QVD205" s="199"/>
      <c r="QVE205" s="199"/>
      <c r="QVF205" s="199"/>
      <c r="QVG205" s="199"/>
      <c r="QVH205" s="199"/>
      <c r="QVI205" s="199"/>
      <c r="QVJ205" s="199"/>
      <c r="QVK205" s="199"/>
      <c r="QVL205" s="199"/>
      <c r="QVM205" s="199"/>
      <c r="QVN205" s="199"/>
      <c r="QVO205" s="199"/>
      <c r="QVP205" s="199"/>
      <c r="QVQ205" s="199"/>
      <c r="QVR205" s="199"/>
      <c r="QVS205" s="199"/>
      <c r="QVT205" s="199"/>
      <c r="QVU205" s="199"/>
      <c r="QVV205" s="199"/>
      <c r="QVW205" s="199"/>
      <c r="QVX205" s="199"/>
      <c r="QVY205" s="199"/>
      <c r="QVZ205" s="199"/>
      <c r="QWA205" s="199"/>
      <c r="QWB205" s="199"/>
      <c r="QWC205" s="199"/>
      <c r="QWD205" s="199"/>
      <c r="QWE205" s="199"/>
      <c r="QWF205" s="199"/>
      <c r="QWG205" s="199"/>
      <c r="QWH205" s="199"/>
      <c r="QWI205" s="199"/>
      <c r="QWJ205" s="199"/>
      <c r="QWK205" s="199"/>
      <c r="QWL205" s="199"/>
      <c r="QWM205" s="199"/>
      <c r="QWN205" s="199"/>
      <c r="QWO205" s="199"/>
      <c r="QWP205" s="199"/>
      <c r="QWQ205" s="199"/>
      <c r="QWR205" s="199"/>
      <c r="QWS205" s="199"/>
      <c r="QWT205" s="199"/>
      <c r="QWU205" s="199"/>
      <c r="QWV205" s="199"/>
      <c r="QWW205" s="199"/>
      <c r="QWX205" s="199"/>
      <c r="QWY205" s="199"/>
      <c r="QWZ205" s="199"/>
      <c r="QXA205" s="199"/>
      <c r="QXB205" s="199"/>
      <c r="QXC205" s="199"/>
      <c r="QXD205" s="199"/>
      <c r="QXE205" s="199"/>
      <c r="QXF205" s="199"/>
      <c r="QXG205" s="199"/>
      <c r="QXH205" s="199"/>
      <c r="QXI205" s="199"/>
      <c r="QXJ205" s="199"/>
      <c r="QXK205" s="199"/>
      <c r="QXL205" s="199"/>
      <c r="QXM205" s="199"/>
      <c r="QXN205" s="199"/>
      <c r="QXO205" s="199"/>
      <c r="QXP205" s="199"/>
      <c r="QXQ205" s="199"/>
      <c r="QXR205" s="199"/>
      <c r="QXS205" s="199"/>
      <c r="QXT205" s="199"/>
      <c r="QXU205" s="199"/>
      <c r="QXV205" s="199"/>
      <c r="QXW205" s="199"/>
      <c r="QXX205" s="199"/>
      <c r="QXY205" s="199"/>
      <c r="QXZ205" s="199"/>
      <c r="QYA205" s="199"/>
      <c r="QYB205" s="199"/>
      <c r="QYC205" s="199"/>
      <c r="QYD205" s="199"/>
      <c r="QYE205" s="199"/>
      <c r="QYF205" s="199"/>
      <c r="QYG205" s="199"/>
      <c r="QYH205" s="199"/>
      <c r="QYI205" s="199"/>
      <c r="QYJ205" s="199"/>
      <c r="QYK205" s="199"/>
      <c r="QYL205" s="199"/>
      <c r="QYM205" s="199"/>
      <c r="QYN205" s="199"/>
      <c r="QYO205" s="199"/>
      <c r="QYP205" s="199"/>
      <c r="QYQ205" s="199"/>
      <c r="QYR205" s="199"/>
      <c r="QYS205" s="199"/>
      <c r="QYT205" s="199"/>
      <c r="QYU205" s="199"/>
      <c r="QYV205" s="199"/>
      <c r="QYW205" s="199"/>
      <c r="QYX205" s="199"/>
      <c r="QYY205" s="199"/>
      <c r="QYZ205" s="199"/>
      <c r="QZA205" s="199"/>
      <c r="QZB205" s="199"/>
      <c r="QZC205" s="199"/>
      <c r="QZD205" s="199"/>
      <c r="QZE205" s="199"/>
      <c r="QZF205" s="199"/>
      <c r="QZG205" s="199"/>
      <c r="QZH205" s="199"/>
      <c r="QZI205" s="199"/>
      <c r="QZJ205" s="199"/>
      <c r="QZK205" s="199"/>
      <c r="QZL205" s="199"/>
      <c r="QZM205" s="199"/>
      <c r="QZN205" s="199"/>
      <c r="QZO205" s="199"/>
      <c r="QZP205" s="199"/>
      <c r="QZQ205" s="199"/>
      <c r="QZR205" s="199"/>
      <c r="QZS205" s="199"/>
      <c r="QZT205" s="199"/>
      <c r="QZU205" s="199"/>
      <c r="QZV205" s="199"/>
      <c r="QZW205" s="199"/>
      <c r="QZX205" s="199"/>
      <c r="QZY205" s="199"/>
      <c r="QZZ205" s="199"/>
      <c r="RAA205" s="199"/>
      <c r="RAB205" s="199"/>
      <c r="RAC205" s="199"/>
      <c r="RAD205" s="199"/>
      <c r="RAE205" s="199"/>
      <c r="RAF205" s="199"/>
      <c r="RAG205" s="199"/>
      <c r="RAH205" s="199"/>
      <c r="RAI205" s="199"/>
      <c r="RAJ205" s="199"/>
      <c r="RAK205" s="199"/>
      <c r="RAL205" s="199"/>
      <c r="RAM205" s="199"/>
      <c r="RAN205" s="199"/>
      <c r="RAO205" s="199"/>
      <c r="RAP205" s="199"/>
      <c r="RAQ205" s="199"/>
      <c r="RAR205" s="199"/>
      <c r="RAS205" s="199"/>
      <c r="RAT205" s="199"/>
      <c r="RAU205" s="199"/>
      <c r="RAV205" s="199"/>
      <c r="RAW205" s="199"/>
      <c r="RAX205" s="199"/>
      <c r="RAY205" s="199"/>
      <c r="RAZ205" s="199"/>
      <c r="RBA205" s="199"/>
      <c r="RBB205" s="199"/>
      <c r="RBC205" s="199"/>
      <c r="RBD205" s="199"/>
      <c r="RBE205" s="199"/>
      <c r="RBF205" s="199"/>
      <c r="RBG205" s="199"/>
      <c r="RBH205" s="199"/>
      <c r="RBI205" s="199"/>
      <c r="RBJ205" s="199"/>
      <c r="RBK205" s="199"/>
      <c r="RBL205" s="199"/>
      <c r="RBM205" s="199"/>
      <c r="RBN205" s="199"/>
      <c r="RBO205" s="199"/>
      <c r="RBP205" s="199"/>
      <c r="RBQ205" s="199"/>
      <c r="RBR205" s="199"/>
      <c r="RBS205" s="199"/>
      <c r="RBT205" s="199"/>
      <c r="RBU205" s="199"/>
      <c r="RBV205" s="199"/>
      <c r="RBW205" s="199"/>
      <c r="RBX205" s="199"/>
      <c r="RBY205" s="199"/>
      <c r="RBZ205" s="199"/>
      <c r="RCA205" s="199"/>
      <c r="RCB205" s="199"/>
      <c r="RCC205" s="199"/>
      <c r="RCD205" s="199"/>
      <c r="RCE205" s="199"/>
      <c r="RCF205" s="199"/>
      <c r="RCG205" s="199"/>
      <c r="RCH205" s="199"/>
      <c r="RCI205" s="199"/>
      <c r="RCJ205" s="199"/>
      <c r="RCK205" s="199"/>
      <c r="RCL205" s="199"/>
      <c r="RCM205" s="199"/>
      <c r="RCN205" s="199"/>
      <c r="RCO205" s="199"/>
      <c r="RCP205" s="199"/>
      <c r="RCQ205" s="199"/>
      <c r="RCR205" s="199"/>
      <c r="RCS205" s="199"/>
      <c r="RCT205" s="199"/>
      <c r="RCU205" s="199"/>
      <c r="RCV205" s="199"/>
      <c r="RCW205" s="199"/>
      <c r="RCX205" s="199"/>
      <c r="RCY205" s="199"/>
      <c r="RCZ205" s="199"/>
      <c r="RDA205" s="199"/>
      <c r="RDB205" s="199"/>
      <c r="RDC205" s="199"/>
      <c r="RDD205" s="199"/>
      <c r="RDE205" s="199"/>
      <c r="RDF205" s="199"/>
      <c r="RDG205" s="199"/>
      <c r="RDH205" s="199"/>
      <c r="RDI205" s="199"/>
      <c r="RDJ205" s="199"/>
      <c r="RDK205" s="199"/>
      <c r="RDL205" s="199"/>
      <c r="RDM205" s="199"/>
      <c r="RDN205" s="199"/>
      <c r="RDO205" s="199"/>
      <c r="RDP205" s="199"/>
      <c r="RDQ205" s="199"/>
      <c r="RDR205" s="199"/>
      <c r="RDS205" s="199"/>
      <c r="RDT205" s="199"/>
      <c r="RDU205" s="199"/>
      <c r="RDV205" s="199"/>
      <c r="RDW205" s="199"/>
      <c r="RDX205" s="199"/>
      <c r="RDY205" s="199"/>
      <c r="RDZ205" s="199"/>
      <c r="REA205" s="199"/>
      <c r="REB205" s="199"/>
      <c r="REC205" s="199"/>
      <c r="RED205" s="199"/>
      <c r="REE205" s="199"/>
      <c r="REF205" s="199"/>
      <c r="REG205" s="199"/>
      <c r="REH205" s="199"/>
      <c r="REI205" s="199"/>
      <c r="REJ205" s="199"/>
      <c r="REK205" s="199"/>
      <c r="REL205" s="199"/>
      <c r="REM205" s="199"/>
      <c r="REN205" s="199"/>
      <c r="REO205" s="199"/>
      <c r="REP205" s="199"/>
      <c r="REQ205" s="199"/>
      <c r="RER205" s="199"/>
      <c r="RES205" s="199"/>
      <c r="RET205" s="199"/>
      <c r="REU205" s="199"/>
      <c r="REV205" s="199"/>
      <c r="REW205" s="199"/>
      <c r="REX205" s="199"/>
      <c r="REY205" s="199"/>
      <c r="REZ205" s="199"/>
      <c r="RFA205" s="199"/>
      <c r="RFB205" s="199"/>
      <c r="RFC205" s="199"/>
      <c r="RFD205" s="199"/>
      <c r="RFE205" s="199"/>
      <c r="RFF205" s="199"/>
      <c r="RFG205" s="199"/>
      <c r="RFH205" s="199"/>
      <c r="RFI205" s="199"/>
      <c r="RFJ205" s="199"/>
      <c r="RFK205" s="199"/>
      <c r="RFL205" s="199"/>
      <c r="RFM205" s="199"/>
      <c r="RFN205" s="199"/>
      <c r="RFO205" s="199"/>
      <c r="RFP205" s="199"/>
      <c r="RFQ205" s="199"/>
      <c r="RFR205" s="199"/>
      <c r="RFS205" s="199"/>
      <c r="RFT205" s="199"/>
      <c r="RFU205" s="199"/>
      <c r="RFV205" s="199"/>
      <c r="RFW205" s="199"/>
      <c r="RFX205" s="199"/>
      <c r="RFY205" s="199"/>
      <c r="RFZ205" s="199"/>
      <c r="RGA205" s="199"/>
      <c r="RGB205" s="199"/>
      <c r="RGC205" s="199"/>
      <c r="RGD205" s="199"/>
      <c r="RGE205" s="199"/>
      <c r="RGF205" s="199"/>
      <c r="RGG205" s="199"/>
      <c r="RGH205" s="199"/>
      <c r="RGI205" s="199"/>
      <c r="RGJ205" s="199"/>
      <c r="RGK205" s="199"/>
      <c r="RGL205" s="199"/>
      <c r="RGM205" s="199"/>
      <c r="RGN205" s="199"/>
      <c r="RGO205" s="199"/>
      <c r="RGP205" s="199"/>
      <c r="RGQ205" s="199"/>
      <c r="RGR205" s="199"/>
      <c r="RGS205" s="199"/>
      <c r="RGT205" s="199"/>
      <c r="RGU205" s="199"/>
      <c r="RGV205" s="199"/>
      <c r="RGW205" s="199"/>
      <c r="RGX205" s="199"/>
      <c r="RGY205" s="199"/>
      <c r="RGZ205" s="199"/>
      <c r="RHA205" s="199"/>
      <c r="RHB205" s="199"/>
      <c r="RHC205" s="199"/>
      <c r="RHD205" s="199"/>
      <c r="RHE205" s="199"/>
      <c r="RHF205" s="199"/>
      <c r="RHG205" s="199"/>
      <c r="RHH205" s="199"/>
      <c r="RHI205" s="199"/>
      <c r="RHJ205" s="199"/>
      <c r="RHK205" s="199"/>
      <c r="RHL205" s="199"/>
      <c r="RHM205" s="199"/>
      <c r="RHN205" s="199"/>
      <c r="RHO205" s="199"/>
      <c r="RHP205" s="199"/>
      <c r="RHQ205" s="199"/>
      <c r="RHR205" s="199"/>
      <c r="RHS205" s="199"/>
      <c r="RHT205" s="199"/>
      <c r="RHU205" s="199"/>
      <c r="RHV205" s="199"/>
      <c r="RHW205" s="199"/>
      <c r="RHX205" s="199"/>
      <c r="RHY205" s="199"/>
      <c r="RHZ205" s="199"/>
      <c r="RIA205" s="199"/>
      <c r="RIB205" s="199"/>
      <c r="RIC205" s="199"/>
      <c r="RID205" s="199"/>
      <c r="RIE205" s="199"/>
      <c r="RIF205" s="199"/>
      <c r="RIG205" s="199"/>
      <c r="RIH205" s="199"/>
      <c r="RII205" s="199"/>
      <c r="RIJ205" s="199"/>
      <c r="RIK205" s="199"/>
      <c r="RIL205" s="199"/>
      <c r="RIM205" s="199"/>
      <c r="RIN205" s="199"/>
      <c r="RIO205" s="199"/>
      <c r="RIP205" s="199"/>
      <c r="RIQ205" s="199"/>
      <c r="RIR205" s="199"/>
      <c r="RIS205" s="199"/>
      <c r="RIT205" s="199"/>
      <c r="RIU205" s="199"/>
      <c r="RIV205" s="199"/>
      <c r="RIW205" s="199"/>
      <c r="RIX205" s="199"/>
      <c r="RIY205" s="199"/>
      <c r="RIZ205" s="199"/>
      <c r="RJA205" s="199"/>
      <c r="RJB205" s="199"/>
      <c r="RJC205" s="199"/>
      <c r="RJD205" s="199"/>
      <c r="RJE205" s="199"/>
      <c r="RJF205" s="199"/>
      <c r="RJG205" s="199"/>
      <c r="RJH205" s="199"/>
      <c r="RJI205" s="199"/>
      <c r="RJJ205" s="199"/>
      <c r="RJK205" s="199"/>
      <c r="RJL205" s="199"/>
      <c r="RJM205" s="199"/>
      <c r="RJN205" s="199"/>
      <c r="RJO205" s="199"/>
      <c r="RJP205" s="199"/>
      <c r="RJQ205" s="199"/>
      <c r="RJR205" s="199"/>
      <c r="RJS205" s="199"/>
      <c r="RJT205" s="199"/>
      <c r="RJU205" s="199"/>
      <c r="RJV205" s="199"/>
      <c r="RJW205" s="199"/>
      <c r="RJX205" s="199"/>
      <c r="RJY205" s="199"/>
      <c r="RJZ205" s="199"/>
      <c r="RKA205" s="199"/>
      <c r="RKB205" s="199"/>
      <c r="RKC205" s="199"/>
      <c r="RKD205" s="199"/>
      <c r="RKE205" s="199"/>
      <c r="RKF205" s="199"/>
      <c r="RKG205" s="199"/>
      <c r="RKH205" s="199"/>
      <c r="RKI205" s="199"/>
      <c r="RKJ205" s="199"/>
      <c r="RKK205" s="199"/>
      <c r="RKL205" s="199"/>
      <c r="RKM205" s="199"/>
      <c r="RKN205" s="199"/>
      <c r="RKO205" s="199"/>
      <c r="RKP205" s="199"/>
      <c r="RKQ205" s="199"/>
      <c r="RKR205" s="199"/>
      <c r="RKS205" s="199"/>
      <c r="RKT205" s="199"/>
      <c r="RKU205" s="199"/>
      <c r="RKV205" s="199"/>
      <c r="RKW205" s="199"/>
      <c r="RKX205" s="199"/>
      <c r="RKY205" s="199"/>
      <c r="RKZ205" s="199"/>
      <c r="RLA205" s="199"/>
      <c r="RLB205" s="199"/>
      <c r="RLC205" s="199"/>
      <c r="RLD205" s="199"/>
      <c r="RLE205" s="199"/>
      <c r="RLF205" s="199"/>
      <c r="RLG205" s="199"/>
      <c r="RLH205" s="199"/>
      <c r="RLI205" s="199"/>
      <c r="RLJ205" s="199"/>
      <c r="RLK205" s="199"/>
      <c r="RLL205" s="199"/>
      <c r="RLM205" s="199"/>
      <c r="RLN205" s="199"/>
      <c r="RLO205" s="199"/>
      <c r="RLP205" s="199"/>
      <c r="RLQ205" s="199"/>
      <c r="RLR205" s="199"/>
      <c r="RLS205" s="199"/>
      <c r="RLT205" s="199"/>
      <c r="RLU205" s="199"/>
      <c r="RLV205" s="199"/>
      <c r="RLW205" s="199"/>
      <c r="RLX205" s="199"/>
      <c r="RLY205" s="199"/>
      <c r="RLZ205" s="199"/>
      <c r="RMA205" s="199"/>
      <c r="RMB205" s="199"/>
      <c r="RMC205" s="199"/>
      <c r="RMD205" s="199"/>
      <c r="RME205" s="199"/>
      <c r="RMF205" s="199"/>
      <c r="RMG205" s="199"/>
      <c r="RMH205" s="199"/>
      <c r="RMI205" s="199"/>
      <c r="RMJ205" s="199"/>
      <c r="RMK205" s="199"/>
      <c r="RML205" s="199"/>
      <c r="RMM205" s="199"/>
      <c r="RMN205" s="199"/>
      <c r="RMO205" s="199"/>
      <c r="RMP205" s="199"/>
      <c r="RMQ205" s="199"/>
      <c r="RMR205" s="199"/>
      <c r="RMS205" s="199"/>
      <c r="RMT205" s="199"/>
      <c r="RMU205" s="199"/>
      <c r="RMV205" s="199"/>
      <c r="RMW205" s="199"/>
      <c r="RMX205" s="199"/>
      <c r="RMY205" s="199"/>
      <c r="RMZ205" s="199"/>
      <c r="RNA205" s="199"/>
      <c r="RNB205" s="199"/>
      <c r="RNC205" s="199"/>
      <c r="RND205" s="199"/>
      <c r="RNE205" s="199"/>
      <c r="RNF205" s="199"/>
      <c r="RNG205" s="199"/>
      <c r="RNH205" s="199"/>
      <c r="RNI205" s="199"/>
      <c r="RNJ205" s="199"/>
      <c r="RNK205" s="199"/>
      <c r="RNL205" s="199"/>
      <c r="RNM205" s="199"/>
      <c r="RNN205" s="199"/>
      <c r="RNO205" s="199"/>
      <c r="RNP205" s="199"/>
      <c r="RNQ205" s="199"/>
      <c r="RNR205" s="199"/>
      <c r="RNS205" s="199"/>
      <c r="RNT205" s="199"/>
      <c r="RNU205" s="199"/>
      <c r="RNV205" s="199"/>
      <c r="RNW205" s="199"/>
      <c r="RNX205" s="199"/>
      <c r="RNY205" s="199"/>
      <c r="RNZ205" s="199"/>
      <c r="ROA205" s="199"/>
      <c r="ROB205" s="199"/>
      <c r="ROC205" s="199"/>
      <c r="ROD205" s="199"/>
      <c r="ROE205" s="199"/>
      <c r="ROF205" s="199"/>
      <c r="ROG205" s="199"/>
      <c r="ROH205" s="199"/>
      <c r="ROI205" s="199"/>
      <c r="ROJ205" s="199"/>
      <c r="ROK205" s="199"/>
      <c r="ROL205" s="199"/>
      <c r="ROM205" s="199"/>
      <c r="RON205" s="199"/>
      <c r="ROO205" s="199"/>
      <c r="ROP205" s="199"/>
      <c r="ROQ205" s="199"/>
      <c r="ROR205" s="199"/>
      <c r="ROS205" s="199"/>
      <c r="ROT205" s="199"/>
      <c r="ROU205" s="199"/>
      <c r="ROV205" s="199"/>
      <c r="ROW205" s="199"/>
      <c r="ROX205" s="199"/>
      <c r="ROY205" s="199"/>
      <c r="ROZ205" s="199"/>
      <c r="RPA205" s="199"/>
      <c r="RPB205" s="199"/>
      <c r="RPC205" s="199"/>
      <c r="RPD205" s="199"/>
      <c r="RPE205" s="199"/>
      <c r="RPF205" s="199"/>
      <c r="RPG205" s="199"/>
      <c r="RPH205" s="199"/>
      <c r="RPI205" s="199"/>
      <c r="RPJ205" s="199"/>
      <c r="RPK205" s="199"/>
      <c r="RPL205" s="199"/>
      <c r="RPM205" s="199"/>
      <c r="RPN205" s="199"/>
      <c r="RPO205" s="199"/>
      <c r="RPP205" s="199"/>
      <c r="RPQ205" s="199"/>
      <c r="RPR205" s="199"/>
      <c r="RPS205" s="199"/>
      <c r="RPT205" s="199"/>
      <c r="RPU205" s="199"/>
      <c r="RPV205" s="199"/>
      <c r="RPW205" s="199"/>
      <c r="RPX205" s="199"/>
      <c r="RPY205" s="199"/>
      <c r="RPZ205" s="199"/>
      <c r="RQA205" s="199"/>
      <c r="RQB205" s="199"/>
      <c r="RQC205" s="199"/>
      <c r="RQD205" s="199"/>
      <c r="RQE205" s="199"/>
      <c r="RQF205" s="199"/>
      <c r="RQG205" s="199"/>
      <c r="RQH205" s="199"/>
      <c r="RQI205" s="199"/>
      <c r="RQJ205" s="199"/>
      <c r="RQK205" s="199"/>
      <c r="RQL205" s="199"/>
      <c r="RQM205" s="199"/>
      <c r="RQN205" s="199"/>
      <c r="RQO205" s="199"/>
      <c r="RQP205" s="199"/>
      <c r="RQQ205" s="199"/>
      <c r="RQR205" s="199"/>
      <c r="RQS205" s="199"/>
      <c r="RQT205" s="199"/>
      <c r="RQU205" s="199"/>
      <c r="RQV205" s="199"/>
      <c r="RQW205" s="199"/>
      <c r="RQX205" s="199"/>
      <c r="RQY205" s="199"/>
      <c r="RQZ205" s="199"/>
      <c r="RRA205" s="199"/>
      <c r="RRB205" s="199"/>
      <c r="RRC205" s="199"/>
      <c r="RRD205" s="199"/>
      <c r="RRE205" s="199"/>
      <c r="RRF205" s="199"/>
      <c r="RRG205" s="199"/>
      <c r="RRH205" s="199"/>
      <c r="RRI205" s="199"/>
      <c r="RRJ205" s="199"/>
      <c r="RRK205" s="199"/>
      <c r="RRL205" s="199"/>
      <c r="RRM205" s="199"/>
      <c r="RRN205" s="199"/>
      <c r="RRO205" s="199"/>
      <c r="RRP205" s="199"/>
      <c r="RRQ205" s="199"/>
      <c r="RRR205" s="199"/>
      <c r="RRS205" s="199"/>
      <c r="RRT205" s="199"/>
      <c r="RRU205" s="199"/>
      <c r="RRV205" s="199"/>
      <c r="RRW205" s="199"/>
      <c r="RRX205" s="199"/>
      <c r="RRY205" s="199"/>
      <c r="RRZ205" s="199"/>
      <c r="RSA205" s="199"/>
      <c r="RSB205" s="199"/>
      <c r="RSC205" s="199"/>
      <c r="RSD205" s="199"/>
      <c r="RSE205" s="199"/>
      <c r="RSF205" s="199"/>
      <c r="RSG205" s="199"/>
      <c r="RSH205" s="199"/>
      <c r="RSI205" s="199"/>
      <c r="RSJ205" s="199"/>
      <c r="RSK205" s="199"/>
      <c r="RSL205" s="199"/>
      <c r="RSM205" s="199"/>
      <c r="RSN205" s="199"/>
      <c r="RSO205" s="199"/>
      <c r="RSP205" s="199"/>
      <c r="RSQ205" s="199"/>
      <c r="RSR205" s="199"/>
      <c r="RSS205" s="199"/>
      <c r="RST205" s="199"/>
      <c r="RSU205" s="199"/>
      <c r="RSV205" s="199"/>
      <c r="RSW205" s="199"/>
      <c r="RSX205" s="199"/>
      <c r="RSY205" s="199"/>
      <c r="RSZ205" s="199"/>
      <c r="RTA205" s="199"/>
      <c r="RTB205" s="199"/>
      <c r="RTC205" s="199"/>
      <c r="RTD205" s="199"/>
      <c r="RTE205" s="199"/>
      <c r="RTF205" s="199"/>
      <c r="RTG205" s="199"/>
      <c r="RTH205" s="199"/>
      <c r="RTI205" s="199"/>
      <c r="RTJ205" s="199"/>
      <c r="RTK205" s="199"/>
      <c r="RTL205" s="199"/>
    </row>
    <row r="206" spans="1:12700" s="197" customFormat="1" ht="79.5" customHeight="1" x14ac:dyDescent="0.25">
      <c r="A206" s="7"/>
      <c r="B206" s="7"/>
      <c r="C206" s="526" t="s">
        <v>192</v>
      </c>
      <c r="D206" s="526"/>
      <c r="E206" s="526"/>
      <c r="F206" s="526"/>
      <c r="G206" s="526"/>
      <c r="H206" s="526"/>
      <c r="I206" s="526"/>
      <c r="J206" s="526"/>
      <c r="K206" s="526"/>
      <c r="L206" s="526"/>
      <c r="M206" s="526" t="s">
        <v>217</v>
      </c>
      <c r="N206" s="526"/>
      <c r="O206" s="526"/>
      <c r="P206" s="526"/>
      <c r="Q206" s="526"/>
      <c r="R206" s="526"/>
      <c r="S206" s="526"/>
      <c r="T206" s="526"/>
      <c r="U206" s="526"/>
      <c r="V206" s="526"/>
      <c r="W206" s="526"/>
      <c r="X206" s="526"/>
      <c r="Y206" s="526"/>
      <c r="Z206" s="526"/>
      <c r="AA206" s="526"/>
      <c r="AB206" s="526"/>
      <c r="AC206" s="526"/>
      <c r="AD206" s="526"/>
      <c r="AE206" s="526"/>
      <c r="AF206" s="526"/>
      <c r="AG206" s="526"/>
      <c r="AH206" s="526"/>
      <c r="AI206" s="526"/>
      <c r="AJ206" s="526"/>
      <c r="AK206" s="526"/>
      <c r="AL206" s="526"/>
      <c r="AM206" s="526"/>
      <c r="AN206" s="541">
        <f>VLOOKUP("УТ-00039448",'Выгрузка из 1С'!$B$4:$K$1988,10,FALSE)</f>
        <v>78000</v>
      </c>
      <c r="AO206" s="542"/>
      <c r="AP206" s="542"/>
      <c r="AQ206" s="542"/>
      <c r="AR206" s="542"/>
      <c r="AS206" s="542"/>
      <c r="AT206" s="199"/>
      <c r="AU206" s="199"/>
      <c r="AV206" s="199"/>
      <c r="AW206" s="199"/>
      <c r="AX206" s="199"/>
      <c r="AY206" s="199"/>
      <c r="AZ206" s="199"/>
      <c r="BA206" s="199"/>
      <c r="BB206" s="199"/>
      <c r="BC206" s="199"/>
      <c r="BD206" s="199"/>
      <c r="BE206" s="199"/>
      <c r="BF206" s="199"/>
      <c r="BG206" s="199"/>
      <c r="BH206" s="199"/>
      <c r="BI206" s="199"/>
      <c r="BJ206" s="199"/>
      <c r="BK206" s="199"/>
      <c r="BL206" s="199"/>
      <c r="BM206" s="199"/>
      <c r="BN206" s="199"/>
      <c r="BO206" s="199"/>
      <c r="BP206" s="199"/>
      <c r="BQ206" s="199"/>
      <c r="BR206" s="199"/>
      <c r="BS206" s="199"/>
      <c r="BT206" s="199"/>
      <c r="BU206" s="199"/>
      <c r="BV206" s="199"/>
      <c r="BW206" s="199"/>
      <c r="BX206" s="199"/>
      <c r="BY206" s="199"/>
      <c r="BZ206" s="199"/>
      <c r="CA206" s="199"/>
      <c r="CB206" s="199"/>
      <c r="CC206" s="199"/>
      <c r="CD206" s="199"/>
      <c r="CE206" s="199"/>
      <c r="CF206" s="199"/>
      <c r="CG206" s="199"/>
      <c r="CH206" s="199"/>
      <c r="CI206" s="199"/>
      <c r="CJ206" s="199"/>
      <c r="CK206" s="199"/>
      <c r="CL206" s="199"/>
      <c r="CM206" s="199"/>
      <c r="CN206" s="199"/>
      <c r="CO206" s="199"/>
      <c r="CP206" s="199"/>
      <c r="CQ206" s="199"/>
      <c r="CR206" s="199"/>
      <c r="CS206" s="199"/>
      <c r="CT206" s="199"/>
      <c r="CU206" s="199"/>
      <c r="CV206" s="199"/>
      <c r="CW206" s="199"/>
      <c r="CX206" s="199"/>
      <c r="CY206" s="199"/>
      <c r="CZ206" s="199"/>
      <c r="DA206" s="199"/>
      <c r="DB206" s="199"/>
      <c r="DC206" s="199"/>
      <c r="DD206" s="199"/>
      <c r="DE206" s="199"/>
      <c r="DF206" s="199"/>
      <c r="DG206" s="199"/>
      <c r="DH206" s="199"/>
      <c r="DI206" s="199"/>
      <c r="DJ206" s="199"/>
      <c r="DK206" s="199"/>
      <c r="DL206" s="199"/>
      <c r="DM206" s="199"/>
      <c r="DN206" s="199"/>
      <c r="DO206" s="199"/>
      <c r="DP206" s="199"/>
      <c r="DQ206" s="199"/>
      <c r="DR206" s="199"/>
      <c r="DS206" s="199"/>
      <c r="DT206" s="199"/>
      <c r="DU206" s="199"/>
      <c r="DV206" s="199"/>
      <c r="DW206" s="199"/>
      <c r="DX206" s="199"/>
      <c r="DY206" s="199"/>
      <c r="DZ206" s="199"/>
      <c r="EA206" s="199"/>
      <c r="EB206" s="199"/>
      <c r="EC206" s="199"/>
      <c r="ED206" s="199"/>
      <c r="EE206" s="199"/>
      <c r="EF206" s="199"/>
      <c r="EG206" s="199"/>
      <c r="EH206" s="199"/>
      <c r="EI206" s="199"/>
      <c r="EJ206" s="199"/>
      <c r="EK206" s="199"/>
      <c r="EL206" s="199"/>
      <c r="EM206" s="199"/>
      <c r="EN206" s="199"/>
      <c r="EO206" s="199"/>
      <c r="EP206" s="199"/>
      <c r="EQ206" s="199"/>
      <c r="ER206" s="199"/>
      <c r="ES206" s="199"/>
      <c r="ET206" s="199"/>
      <c r="EU206" s="199"/>
      <c r="EV206" s="199"/>
      <c r="EW206" s="199"/>
      <c r="EX206" s="199"/>
      <c r="EY206" s="199"/>
      <c r="EZ206" s="199"/>
      <c r="FA206" s="199"/>
      <c r="FB206" s="199"/>
      <c r="FC206" s="199"/>
      <c r="FD206" s="199"/>
      <c r="FE206" s="199"/>
      <c r="FF206" s="199"/>
      <c r="FG206" s="199"/>
      <c r="FH206" s="199"/>
      <c r="FI206" s="199"/>
      <c r="FJ206" s="199"/>
      <c r="FK206" s="199"/>
      <c r="FL206" s="199"/>
      <c r="FM206" s="199"/>
      <c r="FN206" s="199"/>
      <c r="FO206" s="199"/>
      <c r="FP206" s="199"/>
      <c r="FQ206" s="199"/>
      <c r="FR206" s="199"/>
      <c r="FS206" s="199"/>
      <c r="FT206" s="199"/>
      <c r="FU206" s="199"/>
      <c r="FV206" s="199"/>
      <c r="FW206" s="199"/>
      <c r="FX206" s="199"/>
      <c r="FY206" s="199"/>
      <c r="FZ206" s="199"/>
      <c r="GA206" s="199"/>
      <c r="GB206" s="199"/>
      <c r="GC206" s="199"/>
      <c r="GD206" s="199"/>
      <c r="GE206" s="199"/>
      <c r="GF206" s="199"/>
      <c r="GG206" s="199"/>
      <c r="GH206" s="199"/>
      <c r="GI206" s="199"/>
      <c r="GJ206" s="199"/>
      <c r="GK206" s="199"/>
      <c r="GL206" s="199"/>
      <c r="GM206" s="199"/>
      <c r="GN206" s="199"/>
      <c r="GO206" s="199"/>
      <c r="GP206" s="199"/>
      <c r="GQ206" s="199"/>
      <c r="GR206" s="199"/>
      <c r="GS206" s="199"/>
      <c r="GT206" s="199"/>
      <c r="GU206" s="199"/>
      <c r="GV206" s="199"/>
      <c r="GW206" s="199"/>
      <c r="GX206" s="199"/>
      <c r="GY206" s="199"/>
      <c r="GZ206" s="199"/>
      <c r="HA206" s="199"/>
      <c r="HB206" s="199"/>
      <c r="HC206" s="199"/>
      <c r="HD206" s="199"/>
      <c r="HE206" s="199"/>
      <c r="HF206" s="199"/>
      <c r="HG206" s="199"/>
      <c r="HH206" s="199"/>
      <c r="HI206" s="199"/>
      <c r="HJ206" s="199"/>
      <c r="HK206" s="199"/>
      <c r="HL206" s="199"/>
      <c r="HM206" s="199"/>
      <c r="HN206" s="199"/>
      <c r="HO206" s="199"/>
      <c r="HP206" s="199"/>
      <c r="HQ206" s="199"/>
      <c r="HR206" s="199"/>
      <c r="HS206" s="199"/>
      <c r="HT206" s="199"/>
      <c r="HU206" s="199"/>
      <c r="HV206" s="199"/>
      <c r="HW206" s="199"/>
      <c r="HX206" s="199"/>
      <c r="HY206" s="199"/>
      <c r="HZ206" s="199"/>
      <c r="IA206" s="199"/>
      <c r="IB206" s="199"/>
      <c r="IC206" s="199"/>
      <c r="ID206" s="199"/>
      <c r="IE206" s="199"/>
      <c r="IF206" s="199"/>
      <c r="IG206" s="199"/>
      <c r="IH206" s="199"/>
      <c r="II206" s="199"/>
      <c r="IJ206" s="199"/>
      <c r="IK206" s="199"/>
      <c r="IL206" s="199"/>
      <c r="IM206" s="199"/>
      <c r="IN206" s="199"/>
      <c r="IO206" s="199"/>
      <c r="IP206" s="199"/>
      <c r="IQ206" s="199"/>
      <c r="IR206" s="199"/>
      <c r="IS206" s="199"/>
      <c r="IT206" s="199"/>
      <c r="IU206" s="199"/>
      <c r="IV206" s="199"/>
      <c r="IW206" s="199"/>
      <c r="IX206" s="199"/>
      <c r="IY206" s="199"/>
      <c r="IZ206" s="199"/>
      <c r="JA206" s="199"/>
      <c r="JB206" s="199"/>
      <c r="JC206" s="199"/>
      <c r="JD206" s="199"/>
      <c r="JE206" s="199"/>
      <c r="JF206" s="199"/>
      <c r="JG206" s="199"/>
      <c r="JH206" s="199"/>
      <c r="JI206" s="199"/>
      <c r="JJ206" s="199"/>
      <c r="JK206" s="199"/>
      <c r="JL206" s="199"/>
      <c r="JM206" s="199"/>
      <c r="JN206" s="199"/>
      <c r="JO206" s="199"/>
      <c r="JP206" s="199"/>
      <c r="JQ206" s="199"/>
      <c r="JR206" s="199"/>
      <c r="JS206" s="199"/>
      <c r="JT206" s="199"/>
      <c r="JU206" s="199"/>
      <c r="JV206" s="199"/>
      <c r="JW206" s="199"/>
      <c r="JX206" s="199"/>
      <c r="JY206" s="199"/>
      <c r="JZ206" s="199"/>
      <c r="KA206" s="199"/>
      <c r="KB206" s="199"/>
      <c r="KC206" s="199"/>
      <c r="KD206" s="199"/>
      <c r="KE206" s="199"/>
      <c r="KF206" s="199"/>
      <c r="KG206" s="199"/>
      <c r="KH206" s="199"/>
      <c r="KI206" s="199"/>
      <c r="KJ206" s="199"/>
      <c r="KK206" s="199"/>
      <c r="KL206" s="199"/>
      <c r="KM206" s="199"/>
      <c r="KN206" s="199"/>
      <c r="KO206" s="199"/>
      <c r="KP206" s="199"/>
      <c r="KQ206" s="199"/>
      <c r="KR206" s="199"/>
      <c r="KS206" s="199"/>
      <c r="KT206" s="199"/>
      <c r="KU206" s="199"/>
      <c r="KV206" s="199"/>
      <c r="KW206" s="199"/>
      <c r="KX206" s="199"/>
      <c r="KY206" s="199"/>
      <c r="KZ206" s="199"/>
      <c r="LA206" s="199"/>
      <c r="LB206" s="199"/>
      <c r="LC206" s="199"/>
      <c r="LD206" s="199"/>
      <c r="LE206" s="199"/>
      <c r="LF206" s="199"/>
      <c r="LG206" s="199"/>
      <c r="LH206" s="199"/>
      <c r="LI206" s="199"/>
      <c r="LJ206" s="199"/>
      <c r="LK206" s="199"/>
      <c r="LL206" s="199"/>
      <c r="LM206" s="199"/>
      <c r="LN206" s="199"/>
      <c r="LO206" s="199"/>
      <c r="LP206" s="199"/>
      <c r="LQ206" s="199"/>
      <c r="LR206" s="199"/>
      <c r="LS206" s="199"/>
      <c r="LT206" s="199"/>
      <c r="LU206" s="199"/>
      <c r="LV206" s="199"/>
      <c r="LW206" s="199"/>
      <c r="LX206" s="199"/>
      <c r="LY206" s="199"/>
      <c r="LZ206" s="199"/>
      <c r="MA206" s="199"/>
      <c r="MB206" s="199"/>
      <c r="MC206" s="199"/>
      <c r="MD206" s="199"/>
      <c r="ME206" s="199"/>
      <c r="MF206" s="199"/>
      <c r="MG206" s="199"/>
      <c r="MH206" s="199"/>
      <c r="MI206" s="199"/>
      <c r="MJ206" s="199"/>
      <c r="MK206" s="199"/>
      <c r="ML206" s="199"/>
      <c r="MM206" s="199"/>
      <c r="MN206" s="199"/>
      <c r="MO206" s="199"/>
      <c r="MP206" s="199"/>
      <c r="MQ206" s="199"/>
      <c r="MR206" s="199"/>
      <c r="MS206" s="199"/>
      <c r="MT206" s="199"/>
      <c r="MU206" s="199"/>
      <c r="MV206" s="199"/>
      <c r="MW206" s="199"/>
      <c r="MX206" s="199"/>
      <c r="MY206" s="199"/>
      <c r="MZ206" s="199"/>
      <c r="NA206" s="199"/>
      <c r="NB206" s="199"/>
      <c r="NC206" s="199"/>
      <c r="ND206" s="199"/>
      <c r="NE206" s="199"/>
      <c r="NF206" s="199"/>
      <c r="NG206" s="199"/>
      <c r="NH206" s="199"/>
      <c r="NI206" s="199"/>
      <c r="NJ206" s="199"/>
      <c r="NK206" s="199"/>
      <c r="NL206" s="199"/>
      <c r="NM206" s="199"/>
      <c r="NN206" s="199"/>
      <c r="NO206" s="199"/>
      <c r="NP206" s="199"/>
      <c r="NQ206" s="199"/>
      <c r="NR206" s="199"/>
      <c r="NS206" s="199"/>
      <c r="NT206" s="199"/>
      <c r="NU206" s="199"/>
      <c r="NV206" s="199"/>
      <c r="NW206" s="199"/>
      <c r="NX206" s="199"/>
      <c r="NY206" s="199"/>
      <c r="NZ206" s="199"/>
      <c r="OA206" s="199"/>
      <c r="OB206" s="199"/>
      <c r="OC206" s="199"/>
      <c r="OD206" s="199"/>
      <c r="OE206" s="199"/>
      <c r="OF206" s="199"/>
      <c r="OG206" s="199"/>
      <c r="OH206" s="199"/>
      <c r="OI206" s="199"/>
      <c r="OJ206" s="199"/>
      <c r="OK206" s="199"/>
      <c r="OL206" s="199"/>
      <c r="OM206" s="199"/>
      <c r="ON206" s="199"/>
      <c r="OO206" s="199"/>
      <c r="OP206" s="199"/>
      <c r="OQ206" s="199"/>
      <c r="OR206" s="199"/>
      <c r="OS206" s="199"/>
      <c r="OT206" s="199"/>
      <c r="OU206" s="199"/>
      <c r="OV206" s="199"/>
      <c r="OW206" s="199"/>
      <c r="OX206" s="199"/>
      <c r="OY206" s="199"/>
      <c r="OZ206" s="199"/>
      <c r="PA206" s="199"/>
      <c r="PB206" s="199"/>
      <c r="PC206" s="199"/>
      <c r="PD206" s="199"/>
      <c r="PE206" s="199"/>
      <c r="PF206" s="199"/>
      <c r="PG206" s="199"/>
      <c r="PH206" s="199"/>
      <c r="PI206" s="199"/>
      <c r="PJ206" s="199"/>
      <c r="PK206" s="199"/>
      <c r="PL206" s="199"/>
      <c r="PM206" s="199"/>
      <c r="PN206" s="199"/>
      <c r="PO206" s="199"/>
      <c r="PP206" s="199"/>
      <c r="PQ206" s="199"/>
      <c r="PR206" s="199"/>
      <c r="PS206" s="199"/>
      <c r="PT206" s="199"/>
      <c r="PU206" s="199"/>
      <c r="PV206" s="199"/>
      <c r="PW206" s="199"/>
      <c r="PX206" s="199"/>
      <c r="PY206" s="199"/>
      <c r="PZ206" s="199"/>
      <c r="QA206" s="199"/>
      <c r="QB206" s="199"/>
      <c r="QC206" s="199"/>
      <c r="QD206" s="199"/>
      <c r="QE206" s="199"/>
      <c r="QF206" s="199"/>
      <c r="QG206" s="199"/>
      <c r="QH206" s="199"/>
      <c r="QI206" s="199"/>
      <c r="QJ206" s="199"/>
      <c r="QK206" s="199"/>
      <c r="QL206" s="199"/>
      <c r="QM206" s="199"/>
      <c r="QN206" s="199"/>
      <c r="QO206" s="199"/>
      <c r="QP206" s="199"/>
      <c r="QQ206" s="199"/>
      <c r="QR206" s="199"/>
      <c r="QS206" s="199"/>
      <c r="QT206" s="199"/>
      <c r="QU206" s="199"/>
      <c r="QV206" s="199"/>
      <c r="QW206" s="199"/>
      <c r="QX206" s="199"/>
      <c r="QY206" s="199"/>
      <c r="QZ206" s="199"/>
      <c r="RA206" s="199"/>
      <c r="RB206" s="199"/>
      <c r="RC206" s="199"/>
      <c r="RD206" s="199"/>
      <c r="RE206" s="199"/>
      <c r="RF206" s="199"/>
      <c r="RG206" s="199"/>
      <c r="RH206" s="199"/>
      <c r="RI206" s="199"/>
      <c r="RJ206" s="199"/>
      <c r="RK206" s="199"/>
      <c r="RL206" s="199"/>
      <c r="RM206" s="199"/>
      <c r="RN206" s="199"/>
      <c r="RO206" s="199"/>
      <c r="RP206" s="199"/>
      <c r="RQ206" s="199"/>
      <c r="RR206" s="199"/>
      <c r="RS206" s="199"/>
      <c r="RT206" s="199"/>
      <c r="RU206" s="199"/>
      <c r="RV206" s="199"/>
      <c r="RW206" s="199"/>
      <c r="RX206" s="199"/>
      <c r="RY206" s="199"/>
      <c r="RZ206" s="199"/>
      <c r="SA206" s="199"/>
      <c r="SB206" s="199"/>
      <c r="SC206" s="199"/>
      <c r="SD206" s="199"/>
      <c r="SE206" s="199"/>
      <c r="SF206" s="199"/>
      <c r="SG206" s="199"/>
      <c r="SH206" s="199"/>
      <c r="SI206" s="199"/>
      <c r="SJ206" s="199"/>
      <c r="SK206" s="199"/>
      <c r="SL206" s="199"/>
      <c r="SM206" s="199"/>
      <c r="SN206" s="199"/>
      <c r="SO206" s="199"/>
      <c r="SP206" s="199"/>
      <c r="SQ206" s="199"/>
      <c r="SR206" s="199"/>
      <c r="SS206" s="199"/>
      <c r="ST206" s="199"/>
      <c r="SU206" s="199"/>
      <c r="SV206" s="199"/>
      <c r="SW206" s="199"/>
      <c r="SX206" s="199"/>
      <c r="SY206" s="199"/>
      <c r="SZ206" s="199"/>
      <c r="TA206" s="199"/>
      <c r="TB206" s="199"/>
      <c r="TC206" s="199"/>
      <c r="TD206" s="199"/>
      <c r="TE206" s="199"/>
      <c r="TF206" s="199"/>
      <c r="TG206" s="199"/>
      <c r="TH206" s="199"/>
      <c r="TI206" s="199"/>
      <c r="TJ206" s="199"/>
      <c r="TK206" s="199"/>
      <c r="TL206" s="199"/>
      <c r="TM206" s="199"/>
      <c r="TN206" s="199"/>
      <c r="TO206" s="199"/>
      <c r="TP206" s="199"/>
      <c r="TQ206" s="199"/>
      <c r="TR206" s="199"/>
      <c r="TS206" s="199"/>
      <c r="TT206" s="199"/>
      <c r="TU206" s="199"/>
      <c r="TV206" s="199"/>
      <c r="TW206" s="199"/>
      <c r="TX206" s="199"/>
      <c r="TY206" s="199"/>
      <c r="TZ206" s="199"/>
      <c r="UA206" s="199"/>
      <c r="UB206" s="199"/>
      <c r="UC206" s="199"/>
      <c r="UD206" s="199"/>
      <c r="UE206" s="199"/>
      <c r="UF206" s="199"/>
      <c r="UG206" s="199"/>
      <c r="UH206" s="199"/>
      <c r="UI206" s="199"/>
      <c r="UJ206" s="199"/>
      <c r="UK206" s="199"/>
      <c r="UL206" s="199"/>
      <c r="UM206" s="199"/>
      <c r="UN206" s="199"/>
      <c r="UO206" s="199"/>
      <c r="UP206" s="199"/>
      <c r="UQ206" s="199"/>
      <c r="UR206" s="199"/>
      <c r="US206" s="199"/>
      <c r="UT206" s="199"/>
      <c r="UU206" s="199"/>
      <c r="UV206" s="199"/>
      <c r="UW206" s="199"/>
      <c r="UX206" s="199"/>
      <c r="UY206" s="199"/>
      <c r="UZ206" s="199"/>
      <c r="VA206" s="199"/>
      <c r="VB206" s="199"/>
      <c r="VC206" s="199"/>
      <c r="VD206" s="199"/>
      <c r="VE206" s="199"/>
      <c r="VF206" s="199"/>
      <c r="VG206" s="199"/>
      <c r="VH206" s="199"/>
      <c r="VI206" s="199"/>
      <c r="VJ206" s="199"/>
      <c r="VK206" s="199"/>
      <c r="VL206" s="199"/>
      <c r="VM206" s="199"/>
      <c r="VN206" s="199"/>
      <c r="VO206" s="199"/>
      <c r="VP206" s="199"/>
      <c r="VQ206" s="199"/>
      <c r="VR206" s="199"/>
      <c r="VS206" s="199"/>
      <c r="VT206" s="199"/>
      <c r="VU206" s="199"/>
      <c r="VV206" s="199"/>
      <c r="VW206" s="199"/>
      <c r="VX206" s="199"/>
      <c r="VY206" s="199"/>
      <c r="VZ206" s="199"/>
      <c r="WA206" s="199"/>
      <c r="WB206" s="199"/>
      <c r="WC206" s="199"/>
      <c r="WD206" s="199"/>
      <c r="WE206" s="199"/>
      <c r="WF206" s="199"/>
      <c r="WG206" s="199"/>
      <c r="WH206" s="199"/>
      <c r="WI206" s="199"/>
      <c r="WJ206" s="199"/>
      <c r="WK206" s="199"/>
      <c r="WL206" s="199"/>
      <c r="WM206" s="199"/>
      <c r="WN206" s="199"/>
      <c r="WO206" s="199"/>
      <c r="WP206" s="199"/>
      <c r="WQ206" s="199"/>
      <c r="WR206" s="199"/>
      <c r="WS206" s="199"/>
      <c r="WT206" s="199"/>
      <c r="WU206" s="199"/>
      <c r="WV206" s="199"/>
      <c r="WW206" s="199"/>
      <c r="WX206" s="199"/>
      <c r="WY206" s="199"/>
      <c r="WZ206" s="199"/>
      <c r="XA206" s="199"/>
      <c r="XB206" s="199"/>
      <c r="XC206" s="199"/>
      <c r="XD206" s="199"/>
      <c r="XE206" s="199"/>
      <c r="XF206" s="199"/>
      <c r="XG206" s="199"/>
      <c r="XH206" s="199"/>
      <c r="XI206" s="199"/>
      <c r="XJ206" s="199"/>
      <c r="XK206" s="199"/>
      <c r="XL206" s="199"/>
      <c r="XM206" s="199"/>
      <c r="XN206" s="199"/>
      <c r="XO206" s="199"/>
      <c r="XP206" s="199"/>
      <c r="XQ206" s="199"/>
      <c r="XR206" s="199"/>
      <c r="XS206" s="199"/>
      <c r="XT206" s="199"/>
      <c r="XU206" s="199"/>
      <c r="XV206" s="199"/>
      <c r="XW206" s="199"/>
      <c r="XX206" s="199"/>
      <c r="XY206" s="199"/>
      <c r="XZ206" s="199"/>
      <c r="YA206" s="199"/>
      <c r="YB206" s="199"/>
      <c r="YC206" s="199"/>
      <c r="YD206" s="199"/>
      <c r="YE206" s="199"/>
      <c r="YF206" s="199"/>
      <c r="YG206" s="199"/>
      <c r="YH206" s="199"/>
      <c r="YI206" s="199"/>
      <c r="YJ206" s="199"/>
      <c r="YK206" s="199"/>
      <c r="YL206" s="199"/>
      <c r="YM206" s="199"/>
      <c r="YN206" s="199"/>
      <c r="YO206" s="199"/>
      <c r="YP206" s="199"/>
      <c r="YQ206" s="199"/>
      <c r="YR206" s="199"/>
      <c r="YS206" s="199"/>
      <c r="YT206" s="199"/>
      <c r="YU206" s="199"/>
      <c r="YV206" s="199"/>
      <c r="YW206" s="199"/>
      <c r="YX206" s="199"/>
      <c r="YY206" s="199"/>
      <c r="YZ206" s="199"/>
      <c r="ZA206" s="199"/>
      <c r="ZB206" s="199"/>
      <c r="ZC206" s="199"/>
      <c r="ZD206" s="199"/>
      <c r="ZE206" s="199"/>
      <c r="ZF206" s="199"/>
      <c r="ZG206" s="199"/>
      <c r="ZH206" s="199"/>
      <c r="ZI206" s="199"/>
      <c r="ZJ206" s="199"/>
      <c r="ZK206" s="199"/>
      <c r="ZL206" s="199"/>
      <c r="ZM206" s="199"/>
      <c r="ZN206" s="199"/>
      <c r="ZO206" s="199"/>
      <c r="ZP206" s="199"/>
      <c r="ZQ206" s="199"/>
      <c r="ZR206" s="199"/>
      <c r="ZS206" s="199"/>
      <c r="ZT206" s="199"/>
      <c r="ZU206" s="199"/>
      <c r="ZV206" s="199"/>
      <c r="ZW206" s="199"/>
      <c r="ZX206" s="199"/>
      <c r="ZY206" s="199"/>
      <c r="ZZ206" s="199"/>
      <c r="AAA206" s="199"/>
      <c r="AAB206" s="199"/>
      <c r="AAC206" s="199"/>
      <c r="AAD206" s="199"/>
      <c r="AAE206" s="199"/>
      <c r="AAF206" s="199"/>
      <c r="AAG206" s="199"/>
      <c r="AAH206" s="199"/>
      <c r="AAI206" s="199"/>
      <c r="AAJ206" s="199"/>
      <c r="AAK206" s="199"/>
      <c r="AAL206" s="199"/>
      <c r="AAM206" s="199"/>
      <c r="AAN206" s="199"/>
      <c r="AAO206" s="199"/>
      <c r="AAP206" s="199"/>
      <c r="AAQ206" s="199"/>
      <c r="AAR206" s="199"/>
      <c r="AAS206" s="199"/>
      <c r="AAT206" s="199"/>
      <c r="AAU206" s="199"/>
      <c r="AAV206" s="199"/>
      <c r="AAW206" s="199"/>
      <c r="AAX206" s="199"/>
      <c r="AAY206" s="199"/>
      <c r="AAZ206" s="199"/>
      <c r="ABA206" s="199"/>
      <c r="ABB206" s="199"/>
      <c r="ABC206" s="199"/>
      <c r="ABD206" s="199"/>
      <c r="ABE206" s="199"/>
      <c r="ABF206" s="199"/>
      <c r="ABG206" s="199"/>
      <c r="ABH206" s="199"/>
      <c r="ABI206" s="199"/>
      <c r="ABJ206" s="199"/>
      <c r="ABK206" s="199"/>
      <c r="ABL206" s="199"/>
      <c r="ABM206" s="199"/>
      <c r="ABN206" s="199"/>
      <c r="ABO206" s="199"/>
      <c r="ABP206" s="199"/>
      <c r="ABQ206" s="199"/>
      <c r="ABR206" s="199"/>
      <c r="ABS206" s="199"/>
      <c r="ABT206" s="199"/>
      <c r="ABU206" s="199"/>
      <c r="ABV206" s="199"/>
      <c r="ABW206" s="199"/>
      <c r="ABX206" s="199"/>
      <c r="ABY206" s="199"/>
      <c r="ABZ206" s="199"/>
      <c r="ACA206" s="199"/>
      <c r="ACB206" s="199"/>
      <c r="ACC206" s="199"/>
      <c r="ACD206" s="199"/>
      <c r="ACE206" s="199"/>
      <c r="ACF206" s="199"/>
      <c r="ACG206" s="199"/>
      <c r="ACH206" s="199"/>
      <c r="ACI206" s="199"/>
      <c r="ACJ206" s="199"/>
      <c r="ACK206" s="199"/>
      <c r="ACL206" s="199"/>
      <c r="ACM206" s="199"/>
      <c r="ACN206" s="199"/>
      <c r="ACO206" s="199"/>
      <c r="ACP206" s="199"/>
      <c r="ACQ206" s="199"/>
      <c r="ACR206" s="199"/>
      <c r="ACS206" s="199"/>
      <c r="ACT206" s="199"/>
      <c r="ACU206" s="199"/>
      <c r="ACV206" s="199"/>
      <c r="ACW206" s="199"/>
      <c r="ACX206" s="199"/>
      <c r="ACY206" s="199"/>
      <c r="ACZ206" s="199"/>
      <c r="ADA206" s="199"/>
      <c r="ADB206" s="199"/>
      <c r="ADC206" s="199"/>
      <c r="ADD206" s="199"/>
      <c r="ADE206" s="199"/>
      <c r="ADF206" s="199"/>
      <c r="ADG206" s="199"/>
      <c r="ADH206" s="199"/>
      <c r="ADI206" s="199"/>
      <c r="ADJ206" s="199"/>
      <c r="ADK206" s="199"/>
      <c r="ADL206" s="199"/>
      <c r="ADM206" s="199"/>
      <c r="ADN206" s="199"/>
      <c r="ADO206" s="199"/>
      <c r="ADP206" s="199"/>
      <c r="ADQ206" s="199"/>
      <c r="ADR206" s="199"/>
      <c r="ADS206" s="199"/>
      <c r="ADT206" s="199"/>
      <c r="ADU206" s="199"/>
      <c r="ADV206" s="199"/>
      <c r="ADW206" s="199"/>
      <c r="ADX206" s="199"/>
      <c r="ADY206" s="199"/>
      <c r="ADZ206" s="199"/>
      <c r="AEA206" s="199"/>
      <c r="AEB206" s="199"/>
      <c r="AEC206" s="199"/>
      <c r="AED206" s="199"/>
      <c r="AEE206" s="199"/>
      <c r="AEF206" s="199"/>
      <c r="AEG206" s="199"/>
      <c r="AEH206" s="199"/>
      <c r="AEI206" s="199"/>
      <c r="AEJ206" s="199"/>
      <c r="AEK206" s="199"/>
      <c r="AEL206" s="199"/>
      <c r="AEM206" s="199"/>
      <c r="AEN206" s="199"/>
      <c r="AEO206" s="199"/>
      <c r="AEP206" s="199"/>
      <c r="AEQ206" s="199"/>
      <c r="AER206" s="199"/>
      <c r="AES206" s="199"/>
      <c r="AET206" s="199"/>
      <c r="AEU206" s="199"/>
      <c r="AEV206" s="199"/>
      <c r="AEW206" s="199"/>
      <c r="AEX206" s="199"/>
      <c r="AEY206" s="199"/>
      <c r="AEZ206" s="199"/>
      <c r="AFA206" s="199"/>
      <c r="AFB206" s="199"/>
      <c r="AFC206" s="199"/>
      <c r="AFD206" s="199"/>
      <c r="AFE206" s="199"/>
      <c r="AFF206" s="199"/>
      <c r="AFG206" s="199"/>
      <c r="AFH206" s="199"/>
      <c r="AFI206" s="199"/>
      <c r="AFJ206" s="199"/>
      <c r="AFK206" s="199"/>
      <c r="AFL206" s="199"/>
      <c r="AFM206" s="199"/>
      <c r="AFN206" s="199"/>
      <c r="AFO206" s="199"/>
      <c r="AFP206" s="199"/>
      <c r="AFQ206" s="199"/>
      <c r="AFR206" s="199"/>
      <c r="AFS206" s="199"/>
      <c r="AFT206" s="199"/>
      <c r="AFU206" s="199"/>
      <c r="AFV206" s="199"/>
      <c r="AFW206" s="199"/>
      <c r="AFX206" s="199"/>
      <c r="AFY206" s="199"/>
      <c r="AFZ206" s="199"/>
      <c r="AGA206" s="199"/>
      <c r="AGB206" s="199"/>
      <c r="AGC206" s="199"/>
      <c r="AGD206" s="199"/>
      <c r="AGE206" s="199"/>
      <c r="AGF206" s="199"/>
      <c r="AGG206" s="199"/>
      <c r="AGH206" s="199"/>
      <c r="AGI206" s="199"/>
      <c r="AGJ206" s="199"/>
      <c r="AGK206" s="199"/>
      <c r="AGL206" s="199"/>
      <c r="AGM206" s="199"/>
      <c r="AGN206" s="199"/>
      <c r="AGO206" s="199"/>
      <c r="AGP206" s="199"/>
      <c r="AGQ206" s="199"/>
      <c r="AGR206" s="199"/>
      <c r="AGS206" s="199"/>
      <c r="AGT206" s="199"/>
      <c r="AGU206" s="199"/>
      <c r="AGV206" s="199"/>
      <c r="AGW206" s="199"/>
      <c r="AGX206" s="199"/>
      <c r="AGY206" s="199"/>
      <c r="AGZ206" s="199"/>
      <c r="AHA206" s="199"/>
      <c r="AHB206" s="199"/>
      <c r="AHC206" s="199"/>
      <c r="AHD206" s="199"/>
      <c r="AHE206" s="199"/>
      <c r="AHF206" s="199"/>
      <c r="AHG206" s="199"/>
      <c r="AHH206" s="199"/>
      <c r="AHI206" s="199"/>
      <c r="AHJ206" s="199"/>
      <c r="AHK206" s="199"/>
      <c r="AHL206" s="199"/>
      <c r="AHM206" s="199"/>
      <c r="AHN206" s="199"/>
      <c r="AHO206" s="199"/>
      <c r="AHP206" s="199"/>
      <c r="AHQ206" s="199"/>
      <c r="AHR206" s="199"/>
      <c r="AHS206" s="199"/>
      <c r="AHT206" s="199"/>
      <c r="AHU206" s="199"/>
      <c r="AHV206" s="199"/>
      <c r="AHW206" s="199"/>
      <c r="AHX206" s="199"/>
      <c r="AHY206" s="199"/>
      <c r="AHZ206" s="199"/>
      <c r="AIA206" s="199"/>
      <c r="AIB206" s="199"/>
      <c r="AIC206" s="199"/>
      <c r="AID206" s="199"/>
      <c r="AIE206" s="199"/>
      <c r="AIF206" s="199"/>
      <c r="AIG206" s="199"/>
      <c r="AIH206" s="199"/>
      <c r="AII206" s="199"/>
      <c r="AIJ206" s="199"/>
      <c r="AIK206" s="199"/>
      <c r="AIL206" s="199"/>
      <c r="AIM206" s="199"/>
      <c r="AIN206" s="199"/>
      <c r="AIO206" s="199"/>
      <c r="AIP206" s="199"/>
      <c r="AIQ206" s="199"/>
      <c r="AIR206" s="199"/>
      <c r="AIS206" s="199"/>
      <c r="AIT206" s="199"/>
      <c r="AIU206" s="199"/>
      <c r="AIV206" s="199"/>
      <c r="AIW206" s="199"/>
      <c r="AIX206" s="199"/>
      <c r="AIY206" s="199"/>
      <c r="AIZ206" s="199"/>
      <c r="AJA206" s="199"/>
      <c r="AJB206" s="199"/>
      <c r="AJC206" s="199"/>
      <c r="AJD206" s="199"/>
      <c r="AJE206" s="199"/>
      <c r="AJF206" s="199"/>
      <c r="AJG206" s="199"/>
      <c r="AJH206" s="199"/>
      <c r="AJI206" s="199"/>
      <c r="AJJ206" s="199"/>
      <c r="AJK206" s="199"/>
      <c r="AJL206" s="199"/>
      <c r="AJM206" s="199"/>
      <c r="AJN206" s="199"/>
      <c r="AJO206" s="199"/>
      <c r="AJP206" s="199"/>
      <c r="AJQ206" s="199"/>
      <c r="AJR206" s="199"/>
      <c r="AJS206" s="199"/>
      <c r="AJT206" s="199"/>
      <c r="AJU206" s="199"/>
      <c r="AJV206" s="199"/>
      <c r="AJW206" s="199"/>
      <c r="AJX206" s="199"/>
      <c r="AJY206" s="199"/>
      <c r="AJZ206" s="199"/>
      <c r="AKA206" s="199"/>
      <c r="AKB206" s="199"/>
      <c r="AKC206" s="199"/>
      <c r="AKD206" s="199"/>
      <c r="AKE206" s="199"/>
      <c r="AKF206" s="199"/>
      <c r="AKG206" s="199"/>
      <c r="AKH206" s="199"/>
      <c r="AKI206" s="199"/>
      <c r="AKJ206" s="199"/>
      <c r="AKK206" s="199"/>
      <c r="AKL206" s="199"/>
      <c r="AKM206" s="199"/>
      <c r="AKN206" s="199"/>
      <c r="AKO206" s="199"/>
      <c r="AKP206" s="199"/>
      <c r="AKQ206" s="199"/>
      <c r="AKR206" s="199"/>
      <c r="AKS206" s="199"/>
      <c r="AKT206" s="199"/>
      <c r="AKU206" s="199"/>
      <c r="AKV206" s="199"/>
      <c r="AKW206" s="199"/>
      <c r="AKX206" s="199"/>
      <c r="AKY206" s="199"/>
      <c r="AKZ206" s="199"/>
      <c r="ALA206" s="199"/>
      <c r="ALB206" s="199"/>
      <c r="ALC206" s="199"/>
      <c r="ALD206" s="199"/>
      <c r="ALE206" s="199"/>
      <c r="ALF206" s="199"/>
      <c r="ALG206" s="199"/>
      <c r="ALH206" s="199"/>
      <c r="ALI206" s="199"/>
      <c r="ALJ206" s="199"/>
      <c r="ALK206" s="199"/>
      <c r="ALL206" s="199"/>
      <c r="ALM206" s="199"/>
      <c r="ALN206" s="199"/>
      <c r="ALO206" s="199"/>
      <c r="ALP206" s="199"/>
      <c r="ALQ206" s="199"/>
      <c r="ALR206" s="199"/>
      <c r="ALS206" s="199"/>
      <c r="ALT206" s="199"/>
      <c r="ALU206" s="199"/>
      <c r="ALV206" s="199"/>
      <c r="ALW206" s="199"/>
      <c r="ALX206" s="199"/>
      <c r="ALY206" s="199"/>
      <c r="ALZ206" s="199"/>
      <c r="AMA206" s="199"/>
      <c r="AMB206" s="199"/>
      <c r="AMC206" s="199"/>
      <c r="AMD206" s="199"/>
      <c r="AME206" s="199"/>
      <c r="AMF206" s="199"/>
      <c r="AMG206" s="199"/>
      <c r="AMH206" s="199"/>
      <c r="AMI206" s="199"/>
      <c r="AMJ206" s="199"/>
      <c r="AMK206" s="199"/>
      <c r="AML206" s="199"/>
      <c r="AMM206" s="199"/>
      <c r="AMN206" s="199"/>
      <c r="AMO206" s="199"/>
      <c r="AMP206" s="199"/>
      <c r="AMQ206" s="199"/>
      <c r="AMR206" s="199"/>
      <c r="AMS206" s="199"/>
      <c r="AMT206" s="199"/>
      <c r="AMU206" s="199"/>
      <c r="AMV206" s="199"/>
      <c r="AMW206" s="199"/>
      <c r="AMX206" s="199"/>
      <c r="AMY206" s="199"/>
      <c r="AMZ206" s="199"/>
      <c r="ANA206" s="199"/>
      <c r="ANB206" s="199"/>
      <c r="ANC206" s="199"/>
      <c r="AND206" s="199"/>
      <c r="ANE206" s="199"/>
      <c r="ANF206" s="199"/>
      <c r="ANG206" s="199"/>
      <c r="ANH206" s="199"/>
      <c r="ANI206" s="199"/>
      <c r="ANJ206" s="199"/>
      <c r="ANK206" s="199"/>
      <c r="ANL206" s="199"/>
      <c r="ANM206" s="199"/>
      <c r="ANN206" s="199"/>
      <c r="ANO206" s="199"/>
      <c r="ANP206" s="199"/>
      <c r="ANQ206" s="199"/>
      <c r="ANR206" s="199"/>
      <c r="ANS206" s="199"/>
      <c r="ANT206" s="199"/>
      <c r="ANU206" s="199"/>
      <c r="ANV206" s="199"/>
      <c r="ANW206" s="199"/>
      <c r="ANX206" s="199"/>
      <c r="ANY206" s="199"/>
      <c r="ANZ206" s="199"/>
      <c r="AOA206" s="199"/>
      <c r="AOB206" s="199"/>
      <c r="AOC206" s="199"/>
      <c r="AOD206" s="199"/>
      <c r="AOE206" s="199"/>
      <c r="AOF206" s="199"/>
      <c r="AOG206" s="199"/>
      <c r="AOH206" s="199"/>
      <c r="AOI206" s="199"/>
      <c r="AOJ206" s="199"/>
      <c r="AOK206" s="199"/>
      <c r="AOL206" s="199"/>
      <c r="AOM206" s="199"/>
      <c r="AON206" s="199"/>
      <c r="AOO206" s="199"/>
      <c r="AOP206" s="199"/>
      <c r="AOQ206" s="199"/>
      <c r="AOR206" s="199"/>
      <c r="AOS206" s="199"/>
      <c r="AOT206" s="199"/>
      <c r="AOU206" s="199"/>
      <c r="AOV206" s="199"/>
      <c r="AOW206" s="199"/>
      <c r="AOX206" s="199"/>
      <c r="AOY206" s="199"/>
      <c r="AOZ206" s="199"/>
      <c r="APA206" s="199"/>
      <c r="APB206" s="199"/>
      <c r="APC206" s="199"/>
      <c r="APD206" s="199"/>
      <c r="APE206" s="199"/>
      <c r="APF206" s="199"/>
      <c r="APG206" s="199"/>
      <c r="APH206" s="199"/>
      <c r="API206" s="199"/>
      <c r="APJ206" s="199"/>
      <c r="APK206" s="199"/>
      <c r="APL206" s="199"/>
      <c r="APM206" s="199"/>
      <c r="APN206" s="199"/>
      <c r="APO206" s="199"/>
      <c r="APP206" s="199"/>
      <c r="APQ206" s="199"/>
      <c r="APR206" s="199"/>
      <c r="APS206" s="199"/>
      <c r="APT206" s="199"/>
      <c r="APU206" s="199"/>
      <c r="APV206" s="199"/>
      <c r="APW206" s="199"/>
      <c r="APX206" s="199"/>
      <c r="APY206" s="199"/>
      <c r="APZ206" s="199"/>
      <c r="AQA206" s="199"/>
      <c r="AQB206" s="199"/>
      <c r="AQC206" s="199"/>
      <c r="AQD206" s="199"/>
      <c r="AQE206" s="199"/>
      <c r="AQF206" s="199"/>
      <c r="AQG206" s="199"/>
      <c r="AQH206" s="199"/>
      <c r="AQI206" s="199"/>
      <c r="AQJ206" s="199"/>
      <c r="AQK206" s="199"/>
      <c r="AQL206" s="199"/>
      <c r="AQM206" s="199"/>
      <c r="AQN206" s="199"/>
      <c r="AQO206" s="199"/>
      <c r="AQP206" s="199"/>
      <c r="AQQ206" s="199"/>
      <c r="AQR206" s="199"/>
      <c r="AQS206" s="199"/>
      <c r="AQT206" s="199"/>
      <c r="AQU206" s="199"/>
      <c r="AQV206" s="199"/>
      <c r="AQW206" s="199"/>
      <c r="AQX206" s="199"/>
      <c r="AQY206" s="199"/>
      <c r="AQZ206" s="199"/>
      <c r="ARA206" s="199"/>
      <c r="ARB206" s="199"/>
      <c r="ARC206" s="199"/>
      <c r="ARD206" s="199"/>
      <c r="ARE206" s="199"/>
      <c r="ARF206" s="199"/>
      <c r="ARG206" s="199"/>
      <c r="ARH206" s="199"/>
      <c r="ARI206" s="199"/>
      <c r="ARJ206" s="199"/>
      <c r="ARK206" s="199"/>
      <c r="ARL206" s="199"/>
      <c r="ARM206" s="199"/>
      <c r="ARN206" s="199"/>
      <c r="ARO206" s="199"/>
      <c r="ARP206" s="199"/>
      <c r="ARQ206" s="199"/>
      <c r="ARR206" s="199"/>
      <c r="ARS206" s="199"/>
      <c r="ART206" s="199"/>
      <c r="ARU206" s="199"/>
      <c r="ARV206" s="199"/>
      <c r="ARW206" s="199"/>
      <c r="ARX206" s="199"/>
      <c r="ARY206" s="199"/>
      <c r="ARZ206" s="199"/>
      <c r="ASA206" s="199"/>
      <c r="ASB206" s="199"/>
      <c r="ASC206" s="199"/>
      <c r="ASD206" s="199"/>
      <c r="ASE206" s="199"/>
      <c r="ASF206" s="199"/>
      <c r="ASG206" s="199"/>
      <c r="ASH206" s="199"/>
      <c r="ASI206" s="199"/>
      <c r="ASJ206" s="199"/>
      <c r="ASK206" s="199"/>
      <c r="ASL206" s="199"/>
      <c r="ASM206" s="199"/>
      <c r="ASN206" s="199"/>
      <c r="ASO206" s="199"/>
      <c r="ASP206" s="199"/>
      <c r="ASQ206" s="199"/>
      <c r="ASR206" s="199"/>
      <c r="ASS206" s="199"/>
      <c r="AST206" s="199"/>
      <c r="ASU206" s="199"/>
      <c r="ASV206" s="199"/>
      <c r="ASW206" s="199"/>
      <c r="ASX206" s="199"/>
      <c r="ASY206" s="199"/>
      <c r="ASZ206" s="199"/>
      <c r="ATA206" s="199"/>
      <c r="ATB206" s="199"/>
      <c r="ATC206" s="199"/>
      <c r="ATD206" s="199"/>
      <c r="ATE206" s="199"/>
      <c r="ATF206" s="199"/>
      <c r="ATG206" s="199"/>
      <c r="ATH206" s="199"/>
      <c r="ATI206" s="199"/>
      <c r="ATJ206" s="199"/>
      <c r="ATK206" s="199"/>
      <c r="ATL206" s="199"/>
      <c r="ATM206" s="199"/>
      <c r="ATN206" s="199"/>
      <c r="ATO206" s="199"/>
      <c r="ATP206" s="199"/>
      <c r="ATQ206" s="199"/>
      <c r="ATR206" s="199"/>
      <c r="ATS206" s="199"/>
      <c r="ATT206" s="199"/>
      <c r="ATU206" s="199"/>
      <c r="ATV206" s="199"/>
      <c r="ATW206" s="199"/>
      <c r="ATX206" s="199"/>
      <c r="ATY206" s="199"/>
      <c r="ATZ206" s="199"/>
      <c r="AUA206" s="199"/>
      <c r="AUB206" s="199"/>
      <c r="AUC206" s="199"/>
      <c r="AUD206" s="199"/>
      <c r="AUE206" s="199"/>
      <c r="AUF206" s="199"/>
      <c r="AUG206" s="199"/>
      <c r="AUH206" s="199"/>
      <c r="AUI206" s="199"/>
      <c r="AUJ206" s="199"/>
      <c r="AUK206" s="199"/>
      <c r="AUL206" s="199"/>
      <c r="AUM206" s="199"/>
      <c r="AUN206" s="199"/>
      <c r="AUO206" s="199"/>
      <c r="AUP206" s="199"/>
      <c r="AUQ206" s="199"/>
      <c r="AUR206" s="199"/>
      <c r="AUS206" s="199"/>
      <c r="AUT206" s="199"/>
      <c r="AUU206" s="199"/>
      <c r="AUV206" s="199"/>
      <c r="AUW206" s="199"/>
      <c r="AUX206" s="199"/>
      <c r="AUY206" s="199"/>
      <c r="AUZ206" s="199"/>
      <c r="AVA206" s="199"/>
      <c r="AVB206" s="199"/>
      <c r="AVC206" s="199"/>
      <c r="AVD206" s="199"/>
      <c r="AVE206" s="199"/>
      <c r="AVF206" s="199"/>
      <c r="AVG206" s="199"/>
      <c r="AVH206" s="199"/>
      <c r="AVI206" s="199"/>
      <c r="AVJ206" s="199"/>
      <c r="AVK206" s="199"/>
      <c r="AVL206" s="199"/>
      <c r="AVM206" s="199"/>
      <c r="AVN206" s="199"/>
      <c r="AVO206" s="199"/>
      <c r="AVP206" s="199"/>
      <c r="AVQ206" s="199"/>
      <c r="AVR206" s="199"/>
      <c r="AVS206" s="199"/>
      <c r="AVT206" s="199"/>
      <c r="AVU206" s="199"/>
      <c r="AVV206" s="199"/>
      <c r="AVW206" s="199"/>
      <c r="AVX206" s="199"/>
      <c r="AVY206" s="199"/>
      <c r="AVZ206" s="199"/>
      <c r="AWA206" s="199"/>
      <c r="AWB206" s="199"/>
      <c r="AWC206" s="199"/>
      <c r="AWD206" s="199"/>
      <c r="AWE206" s="199"/>
      <c r="AWF206" s="199"/>
      <c r="AWG206" s="199"/>
      <c r="AWH206" s="199"/>
      <c r="AWI206" s="199"/>
      <c r="AWJ206" s="199"/>
      <c r="AWK206" s="199"/>
      <c r="AWL206" s="199"/>
      <c r="AWM206" s="199"/>
      <c r="AWN206" s="199"/>
      <c r="AWO206" s="199"/>
      <c r="AWP206" s="199"/>
      <c r="AWQ206" s="199"/>
      <c r="AWR206" s="199"/>
      <c r="AWS206" s="199"/>
      <c r="AWT206" s="199"/>
      <c r="AWU206" s="199"/>
      <c r="AWV206" s="199"/>
      <c r="AWW206" s="199"/>
      <c r="AWX206" s="199"/>
      <c r="AWY206" s="199"/>
      <c r="AWZ206" s="199"/>
      <c r="AXA206" s="199"/>
      <c r="AXB206" s="199"/>
      <c r="AXC206" s="199"/>
      <c r="AXD206" s="199"/>
      <c r="AXE206" s="199"/>
      <c r="AXF206" s="199"/>
      <c r="AXG206" s="199"/>
      <c r="AXH206" s="199"/>
      <c r="AXI206" s="199"/>
      <c r="AXJ206" s="199"/>
      <c r="AXK206" s="199"/>
      <c r="AXL206" s="199"/>
      <c r="AXM206" s="199"/>
      <c r="AXN206" s="199"/>
      <c r="AXO206" s="199"/>
      <c r="AXP206" s="199"/>
      <c r="AXQ206" s="199"/>
      <c r="AXR206" s="199"/>
      <c r="AXS206" s="199"/>
      <c r="AXT206" s="199"/>
      <c r="AXU206" s="199"/>
      <c r="AXV206" s="199"/>
      <c r="AXW206" s="199"/>
      <c r="AXX206" s="199"/>
      <c r="AXY206" s="199"/>
      <c r="AXZ206" s="199"/>
      <c r="AYA206" s="199"/>
      <c r="AYB206" s="199"/>
      <c r="AYC206" s="199"/>
      <c r="AYD206" s="199"/>
      <c r="AYE206" s="199"/>
      <c r="AYF206" s="199"/>
      <c r="AYG206" s="199"/>
      <c r="AYH206" s="199"/>
      <c r="AYI206" s="199"/>
      <c r="AYJ206" s="199"/>
      <c r="AYK206" s="199"/>
      <c r="AYL206" s="199"/>
      <c r="AYM206" s="199"/>
      <c r="AYN206" s="199"/>
      <c r="AYO206" s="199"/>
      <c r="AYP206" s="199"/>
      <c r="AYQ206" s="199"/>
      <c r="AYR206" s="199"/>
      <c r="AYS206" s="199"/>
      <c r="AYT206" s="199"/>
      <c r="AYU206" s="199"/>
      <c r="AYV206" s="199"/>
      <c r="AYW206" s="199"/>
      <c r="AYX206" s="199"/>
      <c r="AYY206" s="199"/>
      <c r="AYZ206" s="199"/>
      <c r="AZA206" s="199"/>
      <c r="AZB206" s="199"/>
      <c r="AZC206" s="199"/>
      <c r="AZD206" s="199"/>
      <c r="AZE206" s="199"/>
      <c r="AZF206" s="199"/>
      <c r="AZG206" s="199"/>
      <c r="AZH206" s="199"/>
      <c r="AZI206" s="199"/>
      <c r="AZJ206" s="199"/>
      <c r="AZK206" s="199"/>
      <c r="AZL206" s="199"/>
      <c r="AZM206" s="199"/>
      <c r="AZN206" s="199"/>
      <c r="AZO206" s="199"/>
      <c r="AZP206" s="199"/>
      <c r="AZQ206" s="199"/>
      <c r="AZR206" s="199"/>
      <c r="AZS206" s="199"/>
      <c r="AZT206" s="199"/>
      <c r="AZU206" s="199"/>
      <c r="AZV206" s="199"/>
      <c r="AZW206" s="199"/>
      <c r="AZX206" s="199"/>
      <c r="AZY206" s="199"/>
      <c r="AZZ206" s="199"/>
      <c r="BAA206" s="199"/>
      <c r="BAB206" s="199"/>
      <c r="BAC206" s="199"/>
      <c r="BAD206" s="199"/>
      <c r="BAE206" s="199"/>
      <c r="BAF206" s="199"/>
      <c r="BAG206" s="199"/>
      <c r="BAH206" s="199"/>
      <c r="BAI206" s="199"/>
      <c r="BAJ206" s="199"/>
      <c r="BAK206" s="199"/>
      <c r="BAL206" s="199"/>
      <c r="BAM206" s="199"/>
      <c r="BAN206" s="199"/>
      <c r="BAO206" s="199"/>
      <c r="BAP206" s="199"/>
      <c r="BAQ206" s="199"/>
      <c r="BAR206" s="199"/>
      <c r="BAS206" s="199"/>
      <c r="BAT206" s="199"/>
      <c r="BAU206" s="199"/>
      <c r="BAV206" s="199"/>
      <c r="BAW206" s="199"/>
      <c r="BAX206" s="199"/>
      <c r="BAY206" s="199"/>
      <c r="BAZ206" s="199"/>
      <c r="BBA206" s="199"/>
      <c r="BBB206" s="199"/>
      <c r="BBC206" s="199"/>
      <c r="BBD206" s="199"/>
      <c r="BBE206" s="199"/>
      <c r="BBF206" s="199"/>
      <c r="BBG206" s="199"/>
      <c r="BBH206" s="199"/>
      <c r="BBI206" s="199"/>
      <c r="BBJ206" s="199"/>
      <c r="BBK206" s="199"/>
      <c r="BBL206" s="199"/>
      <c r="BBM206" s="199"/>
      <c r="BBN206" s="199"/>
      <c r="BBO206" s="199"/>
      <c r="BBP206" s="199"/>
      <c r="BBQ206" s="199"/>
      <c r="BBR206" s="199"/>
      <c r="BBS206" s="199"/>
      <c r="BBT206" s="199"/>
      <c r="BBU206" s="199"/>
      <c r="BBV206" s="199"/>
      <c r="BBW206" s="199"/>
      <c r="BBX206" s="199"/>
      <c r="BBY206" s="199"/>
      <c r="BBZ206" s="199"/>
      <c r="BCA206" s="199"/>
      <c r="BCB206" s="199"/>
      <c r="BCC206" s="199"/>
      <c r="BCD206" s="199"/>
      <c r="BCE206" s="199"/>
      <c r="BCF206" s="199"/>
      <c r="BCG206" s="199"/>
      <c r="BCH206" s="199"/>
      <c r="BCI206" s="199"/>
      <c r="BCJ206" s="199"/>
      <c r="BCK206" s="199"/>
      <c r="BCL206" s="199"/>
      <c r="BCM206" s="199"/>
      <c r="BCN206" s="199"/>
      <c r="BCO206" s="199"/>
      <c r="BCP206" s="199"/>
      <c r="BCQ206" s="199"/>
      <c r="BCR206" s="199"/>
      <c r="BCS206" s="199"/>
      <c r="BCT206" s="199"/>
      <c r="BCU206" s="199"/>
      <c r="BCV206" s="199"/>
      <c r="BCW206" s="199"/>
      <c r="BCX206" s="199"/>
      <c r="BCY206" s="199"/>
      <c r="BCZ206" s="199"/>
      <c r="BDA206" s="199"/>
      <c r="BDB206" s="199"/>
      <c r="BDC206" s="199"/>
      <c r="BDD206" s="199"/>
      <c r="BDE206" s="199"/>
      <c r="BDF206" s="199"/>
      <c r="BDG206" s="199"/>
      <c r="BDH206" s="199"/>
      <c r="BDI206" s="199"/>
      <c r="BDJ206" s="199"/>
      <c r="BDK206" s="199"/>
      <c r="BDL206" s="199"/>
      <c r="BDM206" s="199"/>
      <c r="BDN206" s="199"/>
      <c r="BDO206" s="199"/>
      <c r="BDP206" s="199"/>
      <c r="BDQ206" s="199"/>
      <c r="BDR206" s="199"/>
      <c r="BDS206" s="199"/>
      <c r="BDT206" s="199"/>
      <c r="BDU206" s="199"/>
      <c r="BDV206" s="199"/>
      <c r="BDW206" s="199"/>
      <c r="BDX206" s="199"/>
      <c r="BDY206" s="199"/>
      <c r="BDZ206" s="199"/>
      <c r="BEA206" s="199"/>
      <c r="BEB206" s="199"/>
      <c r="BEC206" s="199"/>
      <c r="BED206" s="199"/>
      <c r="BEE206" s="199"/>
      <c r="BEF206" s="199"/>
      <c r="BEG206" s="199"/>
      <c r="BEH206" s="199"/>
      <c r="BEI206" s="199"/>
      <c r="BEJ206" s="199"/>
      <c r="BEK206" s="199"/>
      <c r="BEL206" s="199"/>
      <c r="BEM206" s="199"/>
      <c r="BEN206" s="199"/>
      <c r="BEO206" s="199"/>
      <c r="BEP206" s="199"/>
      <c r="BEQ206" s="199"/>
      <c r="BER206" s="199"/>
      <c r="BES206" s="199"/>
      <c r="BET206" s="199"/>
      <c r="BEU206" s="199"/>
      <c r="BEV206" s="199"/>
      <c r="BEW206" s="199"/>
      <c r="BEX206" s="199"/>
      <c r="BEY206" s="199"/>
      <c r="BEZ206" s="199"/>
      <c r="BFA206" s="199"/>
      <c r="BFB206" s="199"/>
      <c r="BFC206" s="199"/>
      <c r="BFD206" s="199"/>
      <c r="BFE206" s="199"/>
      <c r="BFF206" s="199"/>
      <c r="BFG206" s="199"/>
      <c r="BFH206" s="199"/>
      <c r="BFI206" s="199"/>
      <c r="BFJ206" s="199"/>
      <c r="BFK206" s="199"/>
      <c r="BFL206" s="199"/>
      <c r="BFM206" s="199"/>
      <c r="BFN206" s="199"/>
      <c r="BFO206" s="199"/>
      <c r="BFP206" s="199"/>
      <c r="BFQ206" s="199"/>
      <c r="BFR206" s="199"/>
      <c r="BFS206" s="199"/>
      <c r="BFT206" s="199"/>
      <c r="BFU206" s="199"/>
      <c r="BFV206" s="199"/>
      <c r="BFW206" s="199"/>
      <c r="BFX206" s="199"/>
      <c r="BFY206" s="199"/>
      <c r="BFZ206" s="199"/>
      <c r="BGA206" s="199"/>
      <c r="BGB206" s="199"/>
      <c r="BGC206" s="199"/>
      <c r="BGD206" s="199"/>
      <c r="BGE206" s="199"/>
      <c r="BGF206" s="199"/>
      <c r="BGG206" s="199"/>
      <c r="BGH206" s="199"/>
      <c r="BGI206" s="199"/>
      <c r="BGJ206" s="199"/>
      <c r="BGK206" s="199"/>
      <c r="BGL206" s="199"/>
      <c r="BGM206" s="199"/>
      <c r="BGN206" s="199"/>
      <c r="BGO206" s="199"/>
      <c r="BGP206" s="199"/>
      <c r="BGQ206" s="199"/>
      <c r="BGR206" s="199"/>
      <c r="BGS206" s="199"/>
      <c r="BGT206" s="199"/>
      <c r="BGU206" s="199"/>
      <c r="BGV206" s="199"/>
      <c r="BGW206" s="199"/>
      <c r="BGX206" s="199"/>
      <c r="BGY206" s="199"/>
      <c r="BGZ206" s="199"/>
      <c r="BHA206" s="199"/>
      <c r="BHB206" s="199"/>
      <c r="BHC206" s="199"/>
      <c r="BHD206" s="199"/>
      <c r="BHE206" s="199"/>
      <c r="BHF206" s="199"/>
      <c r="BHG206" s="199"/>
      <c r="BHH206" s="199"/>
      <c r="BHI206" s="199"/>
      <c r="BHJ206" s="199"/>
      <c r="BHK206" s="199"/>
      <c r="BHL206" s="199"/>
      <c r="BHM206" s="199"/>
      <c r="BHN206" s="199"/>
      <c r="BHO206" s="199"/>
      <c r="BHP206" s="199"/>
      <c r="BHQ206" s="199"/>
      <c r="BHR206" s="199"/>
      <c r="BHS206" s="199"/>
      <c r="BHT206" s="199"/>
      <c r="BHU206" s="199"/>
      <c r="BHV206" s="199"/>
      <c r="BHW206" s="199"/>
      <c r="BHX206" s="199"/>
      <c r="BHY206" s="199"/>
      <c r="BHZ206" s="199"/>
      <c r="BIA206" s="199"/>
      <c r="BIB206" s="199"/>
      <c r="BIC206" s="199"/>
      <c r="BID206" s="199"/>
      <c r="BIE206" s="199"/>
      <c r="BIF206" s="199"/>
      <c r="BIG206" s="199"/>
      <c r="BIH206" s="199"/>
      <c r="BII206" s="199"/>
      <c r="BIJ206" s="199"/>
      <c r="BIK206" s="199"/>
      <c r="BIL206" s="199"/>
      <c r="BIM206" s="199"/>
      <c r="BIN206" s="199"/>
      <c r="BIO206" s="199"/>
      <c r="BIP206" s="199"/>
      <c r="BIQ206" s="199"/>
      <c r="BIR206" s="199"/>
      <c r="BIS206" s="199"/>
      <c r="BIT206" s="199"/>
      <c r="BIU206" s="199"/>
      <c r="BIV206" s="199"/>
      <c r="BIW206" s="199"/>
      <c r="BIX206" s="199"/>
      <c r="BIY206" s="199"/>
      <c r="BIZ206" s="199"/>
      <c r="BJA206" s="199"/>
      <c r="BJB206" s="199"/>
      <c r="BJC206" s="199"/>
      <c r="BJD206" s="199"/>
      <c r="BJE206" s="199"/>
      <c r="BJF206" s="199"/>
      <c r="BJG206" s="199"/>
      <c r="BJH206" s="199"/>
      <c r="BJI206" s="199"/>
      <c r="BJJ206" s="199"/>
      <c r="BJK206" s="199"/>
      <c r="BJL206" s="199"/>
      <c r="BJM206" s="199"/>
      <c r="BJN206" s="199"/>
      <c r="BJO206" s="199"/>
      <c r="BJP206" s="199"/>
      <c r="BJQ206" s="199"/>
      <c r="BJR206" s="199"/>
      <c r="BJS206" s="199"/>
      <c r="BJT206" s="199"/>
      <c r="BJU206" s="199"/>
      <c r="BJV206" s="199"/>
      <c r="BJW206" s="199"/>
      <c r="BJX206" s="199"/>
      <c r="BJY206" s="199"/>
      <c r="BJZ206" s="199"/>
      <c r="BKA206" s="199"/>
      <c r="BKB206" s="199"/>
      <c r="BKC206" s="199"/>
      <c r="BKD206" s="199"/>
      <c r="BKE206" s="199"/>
      <c r="BKF206" s="199"/>
      <c r="BKG206" s="199"/>
      <c r="BKH206" s="199"/>
      <c r="BKI206" s="199"/>
      <c r="BKJ206" s="199"/>
      <c r="BKK206" s="199"/>
      <c r="BKL206" s="199"/>
      <c r="BKM206" s="199"/>
      <c r="BKN206" s="199"/>
      <c r="BKO206" s="199"/>
      <c r="BKP206" s="199"/>
      <c r="BKQ206" s="199"/>
      <c r="BKR206" s="199"/>
      <c r="BKS206" s="199"/>
      <c r="BKT206" s="199"/>
      <c r="BKU206" s="199"/>
      <c r="BKV206" s="199"/>
      <c r="BKW206" s="199"/>
      <c r="BKX206" s="199"/>
      <c r="BKY206" s="199"/>
      <c r="BKZ206" s="199"/>
      <c r="BLA206" s="199"/>
      <c r="BLB206" s="199"/>
      <c r="BLC206" s="199"/>
      <c r="BLD206" s="199"/>
      <c r="BLE206" s="199"/>
      <c r="BLF206" s="199"/>
      <c r="BLG206" s="199"/>
      <c r="BLH206" s="199"/>
      <c r="BLI206" s="199"/>
      <c r="BLJ206" s="199"/>
      <c r="BLK206" s="199"/>
      <c r="BLL206" s="199"/>
      <c r="BLM206" s="199"/>
      <c r="BLN206" s="199"/>
      <c r="BLO206" s="199"/>
      <c r="BLP206" s="199"/>
      <c r="BLQ206" s="199"/>
      <c r="BLR206" s="199"/>
      <c r="BLS206" s="199"/>
      <c r="BLT206" s="199"/>
      <c r="BLU206" s="199"/>
      <c r="BLV206" s="199"/>
      <c r="BLW206" s="199"/>
      <c r="BLX206" s="199"/>
      <c r="BLY206" s="199"/>
      <c r="BLZ206" s="199"/>
      <c r="BMA206" s="199"/>
      <c r="BMB206" s="199"/>
      <c r="BMC206" s="199"/>
      <c r="BMD206" s="199"/>
      <c r="BME206" s="199"/>
      <c r="BMF206" s="199"/>
      <c r="BMG206" s="199"/>
      <c r="BMH206" s="199"/>
      <c r="BMI206" s="199"/>
      <c r="BMJ206" s="199"/>
      <c r="BMK206" s="199"/>
      <c r="BML206" s="199"/>
      <c r="BMM206" s="199"/>
      <c r="BMN206" s="199"/>
      <c r="BMO206" s="199"/>
      <c r="BMP206" s="199"/>
      <c r="BMQ206" s="199"/>
      <c r="BMR206" s="199"/>
      <c r="BMS206" s="199"/>
      <c r="BMT206" s="199"/>
      <c r="BMU206" s="199"/>
      <c r="BMV206" s="199"/>
      <c r="BMW206" s="199"/>
      <c r="BMX206" s="199"/>
      <c r="BMY206" s="199"/>
      <c r="BMZ206" s="199"/>
      <c r="BNA206" s="199"/>
      <c r="BNB206" s="199"/>
      <c r="BNC206" s="199"/>
      <c r="BND206" s="199"/>
      <c r="BNE206" s="199"/>
      <c r="BNF206" s="199"/>
      <c r="BNG206" s="199"/>
      <c r="BNH206" s="199"/>
      <c r="BNI206" s="199"/>
      <c r="BNJ206" s="199"/>
      <c r="BNK206" s="199"/>
      <c r="BNL206" s="199"/>
      <c r="BNM206" s="199"/>
      <c r="BNN206" s="199"/>
      <c r="BNO206" s="199"/>
      <c r="BNP206" s="199"/>
      <c r="BNQ206" s="199"/>
      <c r="BNR206" s="199"/>
      <c r="BNS206" s="199"/>
      <c r="BNT206" s="199"/>
      <c r="BNU206" s="199"/>
      <c r="BNV206" s="199"/>
      <c r="BNW206" s="199"/>
      <c r="BNX206" s="199"/>
      <c r="BNY206" s="199"/>
      <c r="BNZ206" s="199"/>
      <c r="BOA206" s="199"/>
      <c r="BOB206" s="199"/>
      <c r="BOC206" s="199"/>
      <c r="BOD206" s="199"/>
      <c r="BOE206" s="199"/>
      <c r="BOF206" s="199"/>
      <c r="BOG206" s="199"/>
      <c r="BOH206" s="199"/>
      <c r="BOI206" s="199"/>
      <c r="BOJ206" s="199"/>
      <c r="BOK206" s="199"/>
      <c r="BOL206" s="199"/>
      <c r="BOM206" s="199"/>
      <c r="BON206" s="199"/>
      <c r="BOO206" s="199"/>
      <c r="BOP206" s="199"/>
      <c r="BOQ206" s="199"/>
      <c r="BOR206" s="199"/>
      <c r="BOS206" s="199"/>
      <c r="BOT206" s="199"/>
      <c r="BOU206" s="199"/>
      <c r="BOV206" s="199"/>
      <c r="BOW206" s="199"/>
      <c r="BOX206" s="199"/>
      <c r="BOY206" s="199"/>
      <c r="BOZ206" s="199"/>
      <c r="BPA206" s="199"/>
      <c r="BPB206" s="199"/>
      <c r="BPC206" s="199"/>
      <c r="BPD206" s="199"/>
      <c r="BPE206" s="199"/>
      <c r="BPF206" s="199"/>
      <c r="BPG206" s="199"/>
      <c r="BPH206" s="199"/>
      <c r="BPI206" s="199"/>
      <c r="BPJ206" s="199"/>
      <c r="BPK206" s="199"/>
      <c r="BPL206" s="199"/>
      <c r="BPM206" s="199"/>
      <c r="BPN206" s="199"/>
      <c r="BPO206" s="199"/>
      <c r="BPP206" s="199"/>
      <c r="BPQ206" s="199"/>
      <c r="BPR206" s="199"/>
      <c r="BPS206" s="199"/>
      <c r="BPT206" s="199"/>
      <c r="BPU206" s="199"/>
      <c r="BPV206" s="199"/>
      <c r="BPW206" s="199"/>
      <c r="BPX206" s="199"/>
      <c r="BPY206" s="199"/>
      <c r="BPZ206" s="199"/>
      <c r="BQA206" s="199"/>
      <c r="BQB206" s="199"/>
      <c r="BQC206" s="199"/>
      <c r="BQD206" s="199"/>
      <c r="BQE206" s="199"/>
      <c r="BQF206" s="199"/>
      <c r="BQG206" s="199"/>
      <c r="BQH206" s="199"/>
      <c r="BQI206" s="199"/>
      <c r="BQJ206" s="199"/>
      <c r="BQK206" s="199"/>
      <c r="BQL206" s="199"/>
      <c r="BQM206" s="199"/>
      <c r="BQN206" s="199"/>
      <c r="BQO206" s="199"/>
      <c r="BQP206" s="199"/>
      <c r="BQQ206" s="199"/>
      <c r="BQR206" s="199"/>
      <c r="BQS206" s="199"/>
      <c r="BQT206" s="199"/>
      <c r="BQU206" s="199"/>
      <c r="BQV206" s="199"/>
      <c r="BQW206" s="199"/>
      <c r="BQX206" s="199"/>
      <c r="BQY206" s="199"/>
      <c r="BQZ206" s="199"/>
      <c r="BRA206" s="199"/>
      <c r="BRB206" s="199"/>
      <c r="BRC206" s="199"/>
      <c r="BRD206" s="199"/>
      <c r="BRE206" s="199"/>
      <c r="BRF206" s="199"/>
      <c r="BRG206" s="199"/>
      <c r="BRH206" s="199"/>
      <c r="BRI206" s="199"/>
      <c r="BRJ206" s="199"/>
      <c r="BRK206" s="199"/>
      <c r="BRL206" s="199"/>
      <c r="BRM206" s="199"/>
      <c r="BRN206" s="199"/>
      <c r="BRO206" s="199"/>
      <c r="BRP206" s="199"/>
      <c r="BRQ206" s="199"/>
      <c r="BRR206" s="199"/>
      <c r="BRS206" s="199"/>
      <c r="BRT206" s="199"/>
      <c r="BRU206" s="199"/>
      <c r="BRV206" s="199"/>
      <c r="BRW206" s="199"/>
      <c r="BRX206" s="199"/>
      <c r="BRY206" s="199"/>
      <c r="BRZ206" s="199"/>
      <c r="BSA206" s="199"/>
      <c r="BSB206" s="199"/>
      <c r="BSC206" s="199"/>
      <c r="BSD206" s="199"/>
      <c r="BSE206" s="199"/>
      <c r="BSF206" s="199"/>
      <c r="BSG206" s="199"/>
      <c r="BSH206" s="199"/>
      <c r="BSI206" s="199"/>
      <c r="BSJ206" s="199"/>
      <c r="BSK206" s="199"/>
      <c r="BSL206" s="199"/>
      <c r="BSM206" s="199"/>
      <c r="BSN206" s="199"/>
      <c r="BSO206" s="199"/>
      <c r="BSP206" s="199"/>
      <c r="BSQ206" s="199"/>
      <c r="BSR206" s="199"/>
      <c r="BSS206" s="199"/>
      <c r="BST206" s="199"/>
      <c r="BSU206" s="199"/>
      <c r="BSV206" s="199"/>
      <c r="BSW206" s="199"/>
      <c r="BSX206" s="199"/>
      <c r="BSY206" s="199"/>
      <c r="BSZ206" s="199"/>
      <c r="BTA206" s="199"/>
      <c r="BTB206" s="199"/>
      <c r="BTC206" s="199"/>
      <c r="BTD206" s="199"/>
      <c r="BTE206" s="199"/>
      <c r="BTF206" s="199"/>
      <c r="BTG206" s="199"/>
      <c r="BTH206" s="199"/>
      <c r="BTI206" s="199"/>
      <c r="BTJ206" s="199"/>
      <c r="BTK206" s="199"/>
      <c r="BTL206" s="199"/>
      <c r="BTM206" s="199"/>
      <c r="BTN206" s="199"/>
      <c r="BTO206" s="199"/>
      <c r="BTP206" s="199"/>
      <c r="BTQ206" s="199"/>
      <c r="BTR206" s="199"/>
      <c r="BTS206" s="199"/>
      <c r="BTT206" s="199"/>
      <c r="BTU206" s="199"/>
      <c r="BTV206" s="199"/>
      <c r="BTW206" s="199"/>
      <c r="BTX206" s="199"/>
      <c r="BTY206" s="199"/>
      <c r="BTZ206" s="199"/>
      <c r="BUA206" s="199"/>
      <c r="BUB206" s="199"/>
      <c r="BUC206" s="199"/>
      <c r="BUD206" s="199"/>
      <c r="BUE206" s="199"/>
      <c r="BUF206" s="199"/>
      <c r="BUG206" s="199"/>
      <c r="BUH206" s="199"/>
      <c r="BUI206" s="199"/>
      <c r="BUJ206" s="199"/>
      <c r="BUK206" s="199"/>
      <c r="BUL206" s="199"/>
      <c r="BUM206" s="199"/>
      <c r="BUN206" s="199"/>
      <c r="BUO206" s="199"/>
      <c r="BUP206" s="199"/>
      <c r="BUQ206" s="199"/>
      <c r="BUR206" s="199"/>
      <c r="BUS206" s="199"/>
      <c r="BUT206" s="199"/>
      <c r="BUU206" s="199"/>
      <c r="BUV206" s="199"/>
      <c r="BUW206" s="199"/>
      <c r="BUX206" s="199"/>
      <c r="BUY206" s="199"/>
      <c r="BUZ206" s="199"/>
      <c r="BVA206" s="199"/>
      <c r="BVB206" s="199"/>
      <c r="BVC206" s="199"/>
      <c r="BVD206" s="199"/>
      <c r="BVE206" s="199"/>
      <c r="BVF206" s="199"/>
      <c r="BVG206" s="199"/>
      <c r="BVH206" s="199"/>
      <c r="BVI206" s="199"/>
      <c r="BVJ206" s="199"/>
      <c r="BVK206" s="199"/>
      <c r="BVL206" s="199"/>
      <c r="BVM206" s="199"/>
      <c r="BVN206" s="199"/>
      <c r="BVO206" s="199"/>
      <c r="BVP206" s="199"/>
      <c r="BVQ206" s="199"/>
      <c r="BVR206" s="199"/>
      <c r="BVS206" s="199"/>
      <c r="BVT206" s="199"/>
      <c r="BVU206" s="199"/>
      <c r="BVV206" s="199"/>
      <c r="BVW206" s="199"/>
      <c r="BVX206" s="199"/>
      <c r="BVY206" s="199"/>
      <c r="BVZ206" s="199"/>
      <c r="BWA206" s="199"/>
      <c r="BWB206" s="199"/>
      <c r="BWC206" s="199"/>
      <c r="BWD206" s="199"/>
      <c r="BWE206" s="199"/>
      <c r="BWF206" s="199"/>
      <c r="BWG206" s="199"/>
      <c r="BWH206" s="199"/>
      <c r="BWI206" s="199"/>
      <c r="BWJ206" s="199"/>
      <c r="BWK206" s="199"/>
      <c r="BWL206" s="199"/>
      <c r="BWM206" s="199"/>
      <c r="BWN206" s="199"/>
      <c r="BWO206" s="199"/>
      <c r="BWP206" s="199"/>
      <c r="BWQ206" s="199"/>
      <c r="BWR206" s="199"/>
      <c r="BWS206" s="199"/>
      <c r="BWT206" s="199"/>
      <c r="BWU206" s="199"/>
      <c r="BWV206" s="199"/>
      <c r="BWW206" s="199"/>
      <c r="BWX206" s="199"/>
      <c r="BWY206" s="199"/>
      <c r="BWZ206" s="199"/>
      <c r="BXA206" s="199"/>
      <c r="BXB206" s="199"/>
      <c r="BXC206" s="199"/>
      <c r="BXD206" s="199"/>
      <c r="BXE206" s="199"/>
      <c r="BXF206" s="199"/>
      <c r="BXG206" s="199"/>
      <c r="BXH206" s="199"/>
      <c r="BXI206" s="199"/>
      <c r="BXJ206" s="199"/>
      <c r="BXK206" s="199"/>
      <c r="BXL206" s="199"/>
      <c r="BXM206" s="199"/>
      <c r="BXN206" s="199"/>
      <c r="BXO206" s="199"/>
      <c r="BXP206" s="199"/>
      <c r="BXQ206" s="199"/>
      <c r="BXR206" s="199"/>
      <c r="BXS206" s="199"/>
      <c r="BXT206" s="199"/>
      <c r="BXU206" s="199"/>
      <c r="BXV206" s="199"/>
      <c r="BXW206" s="199"/>
      <c r="BXX206" s="199"/>
      <c r="BXY206" s="199"/>
      <c r="BXZ206" s="199"/>
      <c r="BYA206" s="199"/>
      <c r="BYB206" s="199"/>
      <c r="BYC206" s="199"/>
      <c r="BYD206" s="199"/>
      <c r="BYE206" s="199"/>
      <c r="BYF206" s="199"/>
      <c r="BYG206" s="199"/>
      <c r="BYH206" s="199"/>
      <c r="BYI206" s="199"/>
      <c r="BYJ206" s="199"/>
      <c r="BYK206" s="199"/>
      <c r="BYL206" s="199"/>
      <c r="BYM206" s="199"/>
      <c r="BYN206" s="199"/>
      <c r="BYO206" s="199"/>
      <c r="BYP206" s="199"/>
      <c r="BYQ206" s="199"/>
      <c r="BYR206" s="199"/>
      <c r="BYS206" s="199"/>
      <c r="BYT206" s="199"/>
      <c r="BYU206" s="199"/>
      <c r="BYV206" s="199"/>
      <c r="BYW206" s="199"/>
      <c r="BYX206" s="199"/>
      <c r="BYY206" s="199"/>
      <c r="BYZ206" s="199"/>
      <c r="BZA206" s="199"/>
      <c r="BZB206" s="199"/>
      <c r="BZC206" s="199"/>
      <c r="BZD206" s="199"/>
      <c r="BZE206" s="199"/>
      <c r="BZF206" s="199"/>
      <c r="BZG206" s="199"/>
      <c r="BZH206" s="199"/>
      <c r="BZI206" s="199"/>
      <c r="BZJ206" s="199"/>
      <c r="BZK206" s="199"/>
      <c r="BZL206" s="199"/>
      <c r="BZM206" s="199"/>
      <c r="BZN206" s="199"/>
      <c r="BZO206" s="199"/>
      <c r="BZP206" s="199"/>
      <c r="BZQ206" s="199"/>
      <c r="BZR206" s="199"/>
      <c r="BZS206" s="199"/>
      <c r="BZT206" s="199"/>
      <c r="BZU206" s="199"/>
      <c r="BZV206" s="199"/>
      <c r="BZW206" s="199"/>
      <c r="BZX206" s="199"/>
      <c r="BZY206" s="199"/>
      <c r="BZZ206" s="199"/>
      <c r="CAA206" s="199"/>
      <c r="CAB206" s="199"/>
      <c r="CAC206" s="199"/>
      <c r="CAD206" s="199"/>
      <c r="CAE206" s="199"/>
      <c r="CAF206" s="199"/>
      <c r="CAG206" s="199"/>
      <c r="CAH206" s="199"/>
      <c r="CAI206" s="199"/>
      <c r="CAJ206" s="199"/>
      <c r="CAK206" s="199"/>
      <c r="CAL206" s="199"/>
      <c r="CAM206" s="199"/>
      <c r="CAN206" s="199"/>
      <c r="CAO206" s="199"/>
      <c r="CAP206" s="199"/>
      <c r="CAQ206" s="199"/>
      <c r="CAR206" s="199"/>
      <c r="CAS206" s="199"/>
      <c r="CAT206" s="199"/>
      <c r="CAU206" s="199"/>
      <c r="CAV206" s="199"/>
      <c r="CAW206" s="199"/>
      <c r="CAX206" s="199"/>
      <c r="CAY206" s="199"/>
      <c r="CAZ206" s="199"/>
      <c r="CBA206" s="199"/>
      <c r="CBB206" s="199"/>
      <c r="CBC206" s="199"/>
      <c r="CBD206" s="199"/>
      <c r="CBE206" s="199"/>
      <c r="CBF206" s="199"/>
      <c r="CBG206" s="199"/>
      <c r="CBH206" s="199"/>
      <c r="CBI206" s="199"/>
      <c r="CBJ206" s="199"/>
      <c r="CBK206" s="199"/>
      <c r="CBL206" s="199"/>
      <c r="CBM206" s="199"/>
      <c r="CBN206" s="199"/>
      <c r="CBO206" s="199"/>
      <c r="CBP206" s="199"/>
      <c r="CBQ206" s="199"/>
      <c r="CBR206" s="199"/>
      <c r="CBS206" s="199"/>
      <c r="CBT206" s="199"/>
      <c r="CBU206" s="199"/>
      <c r="CBV206" s="199"/>
      <c r="CBW206" s="199"/>
      <c r="CBX206" s="199"/>
      <c r="CBY206" s="199"/>
      <c r="CBZ206" s="199"/>
      <c r="CCA206" s="199"/>
      <c r="CCB206" s="199"/>
      <c r="CCC206" s="199"/>
      <c r="CCD206" s="199"/>
      <c r="CCE206" s="199"/>
      <c r="CCF206" s="199"/>
      <c r="CCG206" s="199"/>
      <c r="CCH206" s="199"/>
      <c r="CCI206" s="199"/>
      <c r="CCJ206" s="199"/>
      <c r="CCK206" s="199"/>
      <c r="CCL206" s="199"/>
      <c r="CCM206" s="199"/>
      <c r="CCN206" s="199"/>
      <c r="CCO206" s="199"/>
      <c r="CCP206" s="199"/>
      <c r="CCQ206" s="199"/>
      <c r="CCR206" s="199"/>
      <c r="CCS206" s="199"/>
      <c r="CCT206" s="199"/>
      <c r="CCU206" s="199"/>
      <c r="CCV206" s="199"/>
      <c r="CCW206" s="199"/>
      <c r="CCX206" s="199"/>
      <c r="CCY206" s="199"/>
      <c r="CCZ206" s="199"/>
      <c r="CDA206" s="199"/>
      <c r="CDB206" s="199"/>
      <c r="CDC206" s="199"/>
      <c r="CDD206" s="199"/>
      <c r="CDE206" s="199"/>
      <c r="CDF206" s="199"/>
      <c r="CDG206" s="199"/>
      <c r="CDH206" s="199"/>
      <c r="CDI206" s="199"/>
      <c r="CDJ206" s="199"/>
      <c r="CDK206" s="199"/>
      <c r="CDL206" s="199"/>
      <c r="CDM206" s="199"/>
      <c r="CDN206" s="199"/>
      <c r="CDO206" s="199"/>
      <c r="CDP206" s="199"/>
      <c r="CDQ206" s="199"/>
      <c r="CDR206" s="199"/>
      <c r="CDS206" s="199"/>
      <c r="CDT206" s="199"/>
      <c r="CDU206" s="199"/>
      <c r="CDV206" s="199"/>
      <c r="CDW206" s="199"/>
      <c r="CDX206" s="199"/>
      <c r="CDY206" s="199"/>
      <c r="CDZ206" s="199"/>
      <c r="CEA206" s="199"/>
      <c r="CEB206" s="199"/>
      <c r="CEC206" s="199"/>
      <c r="CED206" s="199"/>
      <c r="CEE206" s="199"/>
      <c r="CEF206" s="199"/>
      <c r="CEG206" s="199"/>
      <c r="CEH206" s="199"/>
      <c r="CEI206" s="199"/>
      <c r="CEJ206" s="199"/>
      <c r="CEK206" s="199"/>
      <c r="CEL206" s="199"/>
      <c r="CEM206" s="199"/>
      <c r="CEN206" s="199"/>
      <c r="CEO206" s="199"/>
      <c r="CEP206" s="199"/>
      <c r="CEQ206" s="199"/>
      <c r="CER206" s="199"/>
      <c r="CES206" s="199"/>
      <c r="CET206" s="199"/>
      <c r="CEU206" s="199"/>
      <c r="CEV206" s="199"/>
      <c r="CEW206" s="199"/>
      <c r="CEX206" s="199"/>
      <c r="CEY206" s="199"/>
      <c r="CEZ206" s="199"/>
      <c r="CFA206" s="199"/>
      <c r="CFB206" s="199"/>
      <c r="CFC206" s="199"/>
      <c r="CFD206" s="199"/>
      <c r="CFE206" s="199"/>
      <c r="CFF206" s="199"/>
      <c r="CFG206" s="199"/>
      <c r="CFH206" s="199"/>
      <c r="CFI206" s="199"/>
      <c r="CFJ206" s="199"/>
      <c r="CFK206" s="199"/>
      <c r="CFL206" s="199"/>
      <c r="CFM206" s="199"/>
      <c r="CFN206" s="199"/>
      <c r="CFO206" s="199"/>
      <c r="CFP206" s="199"/>
      <c r="CFQ206" s="199"/>
      <c r="CFR206" s="199"/>
      <c r="CFS206" s="199"/>
      <c r="CFT206" s="199"/>
      <c r="CFU206" s="199"/>
      <c r="CFV206" s="199"/>
      <c r="CFW206" s="199"/>
      <c r="CFX206" s="199"/>
      <c r="CFY206" s="199"/>
      <c r="CFZ206" s="199"/>
      <c r="CGA206" s="199"/>
      <c r="CGB206" s="199"/>
      <c r="CGC206" s="199"/>
      <c r="CGD206" s="199"/>
      <c r="CGE206" s="199"/>
      <c r="CGF206" s="199"/>
      <c r="CGG206" s="199"/>
      <c r="CGH206" s="199"/>
      <c r="CGI206" s="199"/>
      <c r="CGJ206" s="199"/>
      <c r="CGK206" s="199"/>
      <c r="CGL206" s="199"/>
      <c r="CGM206" s="199"/>
      <c r="CGN206" s="199"/>
      <c r="CGO206" s="199"/>
      <c r="CGP206" s="199"/>
      <c r="CGQ206" s="199"/>
      <c r="CGR206" s="199"/>
      <c r="CGS206" s="199"/>
      <c r="CGT206" s="199"/>
      <c r="CGU206" s="199"/>
      <c r="CGV206" s="199"/>
      <c r="CGW206" s="199"/>
      <c r="CGX206" s="199"/>
      <c r="CGY206" s="199"/>
      <c r="CGZ206" s="199"/>
      <c r="CHA206" s="199"/>
      <c r="CHB206" s="199"/>
      <c r="CHC206" s="199"/>
      <c r="CHD206" s="199"/>
      <c r="CHE206" s="199"/>
      <c r="CHF206" s="199"/>
      <c r="CHG206" s="199"/>
      <c r="CHH206" s="199"/>
      <c r="CHI206" s="199"/>
      <c r="CHJ206" s="199"/>
      <c r="CHK206" s="199"/>
      <c r="CHL206" s="199"/>
      <c r="CHM206" s="199"/>
      <c r="CHN206" s="199"/>
      <c r="CHO206" s="199"/>
      <c r="CHP206" s="199"/>
      <c r="CHQ206" s="199"/>
      <c r="CHR206" s="199"/>
      <c r="CHS206" s="199"/>
      <c r="CHT206" s="199"/>
      <c r="CHU206" s="199"/>
      <c r="CHV206" s="199"/>
      <c r="CHW206" s="199"/>
      <c r="CHX206" s="199"/>
      <c r="CHY206" s="199"/>
      <c r="CHZ206" s="199"/>
      <c r="CIA206" s="199"/>
      <c r="CIB206" s="199"/>
      <c r="CIC206" s="199"/>
      <c r="CID206" s="199"/>
      <c r="CIE206" s="199"/>
      <c r="CIF206" s="199"/>
      <c r="CIG206" s="199"/>
      <c r="CIH206" s="199"/>
      <c r="CII206" s="199"/>
      <c r="CIJ206" s="199"/>
      <c r="CIK206" s="199"/>
      <c r="CIL206" s="199"/>
      <c r="CIM206" s="199"/>
      <c r="CIN206" s="199"/>
      <c r="CIO206" s="199"/>
      <c r="CIP206" s="199"/>
      <c r="CIQ206" s="199"/>
      <c r="CIR206" s="199"/>
      <c r="CIS206" s="199"/>
      <c r="CIT206" s="199"/>
      <c r="CIU206" s="199"/>
      <c r="CIV206" s="199"/>
      <c r="CIW206" s="199"/>
      <c r="CIX206" s="199"/>
      <c r="CIY206" s="199"/>
      <c r="CIZ206" s="199"/>
      <c r="CJA206" s="199"/>
      <c r="CJB206" s="199"/>
      <c r="CJC206" s="199"/>
      <c r="CJD206" s="199"/>
      <c r="CJE206" s="199"/>
      <c r="CJF206" s="199"/>
      <c r="CJG206" s="199"/>
      <c r="CJH206" s="199"/>
      <c r="CJI206" s="199"/>
      <c r="CJJ206" s="199"/>
      <c r="CJK206" s="199"/>
      <c r="CJL206" s="199"/>
      <c r="CJM206" s="199"/>
      <c r="CJN206" s="199"/>
      <c r="CJO206" s="199"/>
      <c r="CJP206" s="199"/>
      <c r="CJQ206" s="199"/>
      <c r="CJR206" s="199"/>
      <c r="CJS206" s="199"/>
      <c r="CJT206" s="199"/>
      <c r="CJU206" s="199"/>
      <c r="CJV206" s="199"/>
      <c r="CJW206" s="199"/>
      <c r="CJX206" s="199"/>
      <c r="CJY206" s="199"/>
      <c r="CJZ206" s="199"/>
      <c r="CKA206" s="199"/>
      <c r="CKB206" s="199"/>
      <c r="CKC206" s="199"/>
      <c r="CKD206" s="199"/>
      <c r="CKE206" s="199"/>
      <c r="CKF206" s="199"/>
      <c r="CKG206" s="199"/>
      <c r="CKH206" s="199"/>
      <c r="CKI206" s="199"/>
      <c r="CKJ206" s="199"/>
      <c r="CKK206" s="199"/>
      <c r="CKL206" s="199"/>
      <c r="CKM206" s="199"/>
      <c r="CKN206" s="199"/>
      <c r="CKO206" s="199"/>
      <c r="CKP206" s="199"/>
      <c r="CKQ206" s="199"/>
      <c r="CKR206" s="199"/>
      <c r="CKS206" s="199"/>
      <c r="CKT206" s="199"/>
      <c r="CKU206" s="199"/>
      <c r="CKV206" s="199"/>
      <c r="CKW206" s="199"/>
      <c r="CKX206" s="199"/>
      <c r="CKY206" s="199"/>
      <c r="CKZ206" s="199"/>
      <c r="CLA206" s="199"/>
      <c r="CLB206" s="199"/>
      <c r="CLC206" s="199"/>
      <c r="CLD206" s="199"/>
      <c r="CLE206" s="199"/>
      <c r="CLF206" s="199"/>
      <c r="CLG206" s="199"/>
      <c r="CLH206" s="199"/>
      <c r="CLI206" s="199"/>
      <c r="CLJ206" s="199"/>
      <c r="CLK206" s="199"/>
      <c r="CLL206" s="199"/>
      <c r="CLM206" s="199"/>
      <c r="CLN206" s="199"/>
      <c r="CLO206" s="199"/>
      <c r="CLP206" s="199"/>
      <c r="CLQ206" s="199"/>
      <c r="CLR206" s="199"/>
      <c r="CLS206" s="199"/>
      <c r="CLT206" s="199"/>
      <c r="CLU206" s="199"/>
      <c r="CLV206" s="199"/>
      <c r="CLW206" s="199"/>
      <c r="CLX206" s="199"/>
      <c r="CLY206" s="199"/>
      <c r="CLZ206" s="199"/>
      <c r="CMA206" s="199"/>
      <c r="CMB206" s="199"/>
      <c r="CMC206" s="199"/>
      <c r="CMD206" s="199"/>
      <c r="CME206" s="199"/>
      <c r="CMF206" s="199"/>
      <c r="CMG206" s="199"/>
      <c r="CMH206" s="199"/>
      <c r="CMI206" s="199"/>
      <c r="CMJ206" s="199"/>
      <c r="CMK206" s="199"/>
      <c r="CML206" s="199"/>
      <c r="CMM206" s="199"/>
      <c r="CMN206" s="199"/>
      <c r="CMO206" s="199"/>
      <c r="CMP206" s="199"/>
      <c r="CMQ206" s="199"/>
      <c r="CMR206" s="199"/>
      <c r="CMS206" s="199"/>
      <c r="CMT206" s="199"/>
      <c r="CMU206" s="199"/>
      <c r="CMV206" s="199"/>
      <c r="CMW206" s="199"/>
      <c r="CMX206" s="199"/>
      <c r="CMY206" s="199"/>
      <c r="CMZ206" s="199"/>
      <c r="CNA206" s="199"/>
      <c r="CNB206" s="199"/>
      <c r="CNC206" s="199"/>
      <c r="CND206" s="199"/>
      <c r="CNE206" s="199"/>
      <c r="CNF206" s="199"/>
      <c r="CNG206" s="199"/>
      <c r="CNH206" s="199"/>
      <c r="CNI206" s="199"/>
      <c r="CNJ206" s="199"/>
      <c r="CNK206" s="199"/>
      <c r="CNL206" s="199"/>
      <c r="CNM206" s="199"/>
      <c r="CNN206" s="199"/>
      <c r="CNO206" s="199"/>
      <c r="CNP206" s="199"/>
      <c r="CNQ206" s="199"/>
      <c r="CNR206" s="199"/>
      <c r="CNS206" s="199"/>
      <c r="CNT206" s="199"/>
      <c r="CNU206" s="199"/>
      <c r="CNV206" s="199"/>
      <c r="CNW206" s="199"/>
      <c r="CNX206" s="199"/>
      <c r="CNY206" s="199"/>
      <c r="CNZ206" s="199"/>
      <c r="COA206" s="199"/>
      <c r="COB206" s="199"/>
      <c r="COC206" s="199"/>
      <c r="COD206" s="199"/>
      <c r="COE206" s="199"/>
      <c r="COF206" s="199"/>
      <c r="COG206" s="199"/>
      <c r="COH206" s="199"/>
      <c r="COI206" s="199"/>
      <c r="COJ206" s="199"/>
      <c r="COK206" s="199"/>
      <c r="COL206" s="199"/>
      <c r="COM206" s="199"/>
      <c r="CON206" s="199"/>
      <c r="COO206" s="199"/>
      <c r="COP206" s="199"/>
      <c r="COQ206" s="199"/>
      <c r="COR206" s="199"/>
      <c r="COS206" s="199"/>
      <c r="COT206" s="199"/>
      <c r="COU206" s="199"/>
      <c r="COV206" s="199"/>
      <c r="COW206" s="199"/>
      <c r="COX206" s="199"/>
      <c r="COY206" s="199"/>
      <c r="COZ206" s="199"/>
      <c r="CPA206" s="199"/>
      <c r="CPB206" s="199"/>
      <c r="CPC206" s="199"/>
      <c r="CPD206" s="199"/>
      <c r="CPE206" s="199"/>
      <c r="CPF206" s="199"/>
      <c r="CPG206" s="199"/>
      <c r="CPH206" s="199"/>
      <c r="CPI206" s="199"/>
      <c r="CPJ206" s="199"/>
      <c r="CPK206" s="199"/>
      <c r="CPL206" s="199"/>
      <c r="CPM206" s="199"/>
      <c r="CPN206" s="199"/>
      <c r="CPO206" s="199"/>
      <c r="CPP206" s="199"/>
      <c r="CPQ206" s="199"/>
      <c r="CPR206" s="199"/>
      <c r="CPS206" s="199"/>
      <c r="CPT206" s="199"/>
      <c r="CPU206" s="199"/>
      <c r="CPV206" s="199"/>
      <c r="CPW206" s="199"/>
      <c r="CPX206" s="199"/>
      <c r="CPY206" s="199"/>
      <c r="CPZ206" s="199"/>
      <c r="CQA206" s="199"/>
      <c r="CQB206" s="199"/>
      <c r="CQC206" s="199"/>
      <c r="CQD206" s="199"/>
      <c r="CQE206" s="199"/>
      <c r="CQF206" s="199"/>
      <c r="CQG206" s="199"/>
      <c r="CQH206" s="199"/>
      <c r="CQI206" s="199"/>
      <c r="CQJ206" s="199"/>
      <c r="CQK206" s="199"/>
      <c r="CQL206" s="199"/>
      <c r="CQM206" s="199"/>
      <c r="CQN206" s="199"/>
      <c r="CQO206" s="199"/>
      <c r="CQP206" s="199"/>
      <c r="CQQ206" s="199"/>
      <c r="CQR206" s="199"/>
      <c r="CQS206" s="199"/>
      <c r="CQT206" s="199"/>
      <c r="CQU206" s="199"/>
      <c r="CQV206" s="199"/>
      <c r="CQW206" s="199"/>
      <c r="CQX206" s="199"/>
      <c r="CQY206" s="199"/>
      <c r="CQZ206" s="199"/>
      <c r="CRA206" s="199"/>
      <c r="CRB206" s="199"/>
      <c r="CRC206" s="199"/>
      <c r="CRD206" s="199"/>
      <c r="CRE206" s="199"/>
      <c r="CRF206" s="199"/>
      <c r="CRG206" s="199"/>
      <c r="CRH206" s="199"/>
      <c r="CRI206" s="199"/>
      <c r="CRJ206" s="199"/>
      <c r="CRK206" s="199"/>
      <c r="CRL206" s="199"/>
      <c r="CRM206" s="199"/>
      <c r="CRN206" s="199"/>
      <c r="CRO206" s="199"/>
      <c r="CRP206" s="199"/>
      <c r="CRQ206" s="199"/>
      <c r="CRR206" s="199"/>
      <c r="CRS206" s="199"/>
      <c r="CRT206" s="199"/>
      <c r="CRU206" s="199"/>
      <c r="CRV206" s="199"/>
      <c r="CRW206" s="199"/>
      <c r="CRX206" s="199"/>
      <c r="CRY206" s="199"/>
      <c r="CRZ206" s="199"/>
      <c r="CSA206" s="199"/>
      <c r="CSB206" s="199"/>
      <c r="CSC206" s="199"/>
      <c r="CSD206" s="199"/>
      <c r="CSE206" s="199"/>
      <c r="CSF206" s="199"/>
      <c r="CSG206" s="199"/>
      <c r="CSH206" s="199"/>
      <c r="CSI206" s="199"/>
      <c r="CSJ206" s="199"/>
      <c r="CSK206" s="199"/>
      <c r="CSL206" s="199"/>
      <c r="CSM206" s="199"/>
      <c r="CSN206" s="199"/>
      <c r="CSO206" s="199"/>
      <c r="CSP206" s="199"/>
      <c r="CSQ206" s="199"/>
      <c r="CSR206" s="199"/>
      <c r="CSS206" s="199"/>
      <c r="CST206" s="199"/>
      <c r="CSU206" s="199"/>
      <c r="CSV206" s="199"/>
      <c r="CSW206" s="199"/>
      <c r="CSX206" s="199"/>
      <c r="CSY206" s="199"/>
      <c r="CSZ206" s="199"/>
      <c r="CTA206" s="199"/>
      <c r="CTB206" s="199"/>
      <c r="CTC206" s="199"/>
      <c r="CTD206" s="199"/>
      <c r="CTE206" s="199"/>
      <c r="CTF206" s="199"/>
      <c r="CTG206" s="199"/>
      <c r="CTH206" s="199"/>
      <c r="CTI206" s="199"/>
      <c r="CTJ206" s="199"/>
      <c r="CTK206" s="199"/>
      <c r="CTL206" s="199"/>
      <c r="CTM206" s="199"/>
      <c r="CTN206" s="199"/>
      <c r="CTO206" s="199"/>
      <c r="CTP206" s="199"/>
      <c r="CTQ206" s="199"/>
      <c r="CTR206" s="199"/>
      <c r="CTS206" s="199"/>
      <c r="CTT206" s="199"/>
      <c r="CTU206" s="199"/>
      <c r="CTV206" s="199"/>
      <c r="CTW206" s="199"/>
      <c r="CTX206" s="199"/>
      <c r="CTY206" s="199"/>
      <c r="CTZ206" s="199"/>
      <c r="CUA206" s="199"/>
      <c r="CUB206" s="199"/>
      <c r="CUC206" s="199"/>
      <c r="CUD206" s="199"/>
      <c r="CUE206" s="199"/>
      <c r="CUF206" s="199"/>
      <c r="CUG206" s="199"/>
      <c r="CUH206" s="199"/>
      <c r="CUI206" s="199"/>
      <c r="CUJ206" s="199"/>
      <c r="CUK206" s="199"/>
      <c r="CUL206" s="199"/>
      <c r="CUM206" s="199"/>
      <c r="CUN206" s="199"/>
      <c r="CUO206" s="199"/>
      <c r="CUP206" s="199"/>
      <c r="CUQ206" s="199"/>
      <c r="CUR206" s="199"/>
      <c r="CUS206" s="199"/>
      <c r="CUT206" s="199"/>
      <c r="CUU206" s="199"/>
      <c r="CUV206" s="199"/>
      <c r="CUW206" s="199"/>
      <c r="CUX206" s="199"/>
      <c r="CUY206" s="199"/>
      <c r="CUZ206" s="199"/>
      <c r="CVA206" s="199"/>
      <c r="CVB206" s="199"/>
      <c r="CVC206" s="199"/>
      <c r="CVD206" s="199"/>
      <c r="CVE206" s="199"/>
      <c r="CVF206" s="199"/>
      <c r="CVG206" s="199"/>
      <c r="CVH206" s="199"/>
      <c r="CVI206" s="199"/>
      <c r="CVJ206" s="199"/>
      <c r="CVK206" s="199"/>
      <c r="CVL206" s="199"/>
      <c r="CVM206" s="199"/>
      <c r="CVN206" s="199"/>
      <c r="CVO206" s="199"/>
      <c r="CVP206" s="199"/>
      <c r="CVQ206" s="199"/>
      <c r="CVR206" s="199"/>
      <c r="CVS206" s="199"/>
      <c r="CVT206" s="199"/>
      <c r="CVU206" s="199"/>
      <c r="CVV206" s="199"/>
      <c r="CVW206" s="199"/>
      <c r="CVX206" s="199"/>
      <c r="CVY206" s="199"/>
      <c r="CVZ206" s="199"/>
      <c r="CWA206" s="199"/>
      <c r="CWB206" s="199"/>
      <c r="CWC206" s="199"/>
      <c r="CWD206" s="199"/>
      <c r="CWE206" s="199"/>
      <c r="CWF206" s="199"/>
      <c r="CWG206" s="199"/>
      <c r="CWH206" s="199"/>
      <c r="CWI206" s="199"/>
      <c r="CWJ206" s="199"/>
      <c r="CWK206" s="199"/>
      <c r="CWL206" s="199"/>
      <c r="CWM206" s="199"/>
      <c r="CWN206" s="199"/>
      <c r="CWO206" s="199"/>
      <c r="CWP206" s="199"/>
      <c r="CWQ206" s="199"/>
      <c r="CWR206" s="199"/>
      <c r="CWS206" s="199"/>
      <c r="CWT206" s="199"/>
      <c r="CWU206" s="199"/>
      <c r="CWV206" s="199"/>
      <c r="CWW206" s="199"/>
      <c r="CWX206" s="199"/>
      <c r="CWY206" s="199"/>
      <c r="CWZ206" s="199"/>
      <c r="CXA206" s="199"/>
      <c r="CXB206" s="199"/>
      <c r="CXC206" s="199"/>
      <c r="CXD206" s="199"/>
      <c r="CXE206" s="199"/>
      <c r="CXF206" s="199"/>
      <c r="CXG206" s="199"/>
      <c r="CXH206" s="199"/>
      <c r="CXI206" s="199"/>
      <c r="CXJ206" s="199"/>
      <c r="CXK206" s="199"/>
      <c r="CXL206" s="199"/>
      <c r="CXM206" s="199"/>
      <c r="CXN206" s="199"/>
      <c r="CXO206" s="199"/>
      <c r="CXP206" s="199"/>
      <c r="CXQ206" s="199"/>
      <c r="CXR206" s="199"/>
      <c r="CXS206" s="199"/>
      <c r="CXT206" s="199"/>
      <c r="CXU206" s="199"/>
      <c r="CXV206" s="199"/>
      <c r="CXW206" s="199"/>
      <c r="CXX206" s="199"/>
      <c r="CXY206" s="199"/>
      <c r="CXZ206" s="199"/>
      <c r="CYA206" s="199"/>
      <c r="CYB206" s="199"/>
      <c r="CYC206" s="199"/>
      <c r="CYD206" s="199"/>
      <c r="CYE206" s="199"/>
      <c r="CYF206" s="199"/>
      <c r="CYG206" s="199"/>
      <c r="CYH206" s="199"/>
      <c r="CYI206" s="199"/>
      <c r="CYJ206" s="199"/>
      <c r="CYK206" s="199"/>
      <c r="CYL206" s="199"/>
      <c r="CYM206" s="199"/>
      <c r="CYN206" s="199"/>
      <c r="CYO206" s="199"/>
      <c r="CYP206" s="199"/>
      <c r="CYQ206" s="199"/>
      <c r="CYR206" s="199"/>
      <c r="CYS206" s="199"/>
      <c r="CYT206" s="199"/>
      <c r="CYU206" s="199"/>
      <c r="CYV206" s="199"/>
      <c r="CYW206" s="199"/>
      <c r="CYX206" s="199"/>
      <c r="CYY206" s="199"/>
      <c r="CYZ206" s="199"/>
      <c r="CZA206" s="199"/>
      <c r="CZB206" s="199"/>
      <c r="CZC206" s="199"/>
      <c r="CZD206" s="199"/>
      <c r="CZE206" s="199"/>
      <c r="CZF206" s="199"/>
      <c r="CZG206" s="199"/>
      <c r="CZH206" s="199"/>
      <c r="CZI206" s="199"/>
      <c r="CZJ206" s="199"/>
      <c r="CZK206" s="199"/>
      <c r="CZL206" s="199"/>
      <c r="CZM206" s="199"/>
      <c r="CZN206" s="199"/>
      <c r="CZO206" s="199"/>
      <c r="CZP206" s="199"/>
      <c r="CZQ206" s="199"/>
      <c r="CZR206" s="199"/>
      <c r="CZS206" s="199"/>
      <c r="CZT206" s="199"/>
      <c r="CZU206" s="199"/>
      <c r="CZV206" s="199"/>
      <c r="CZW206" s="199"/>
      <c r="CZX206" s="199"/>
      <c r="CZY206" s="199"/>
      <c r="CZZ206" s="199"/>
      <c r="DAA206" s="199"/>
      <c r="DAB206" s="199"/>
      <c r="DAC206" s="199"/>
      <c r="DAD206" s="199"/>
      <c r="DAE206" s="199"/>
      <c r="DAF206" s="199"/>
      <c r="DAG206" s="199"/>
      <c r="DAH206" s="199"/>
      <c r="DAI206" s="199"/>
      <c r="DAJ206" s="199"/>
      <c r="DAK206" s="199"/>
      <c r="DAL206" s="199"/>
      <c r="DAM206" s="199"/>
      <c r="DAN206" s="199"/>
      <c r="DAO206" s="199"/>
      <c r="DAP206" s="199"/>
      <c r="DAQ206" s="199"/>
      <c r="DAR206" s="199"/>
      <c r="DAS206" s="199"/>
      <c r="DAT206" s="199"/>
      <c r="DAU206" s="199"/>
      <c r="DAV206" s="199"/>
      <c r="DAW206" s="199"/>
      <c r="DAX206" s="199"/>
      <c r="DAY206" s="199"/>
      <c r="DAZ206" s="199"/>
      <c r="DBA206" s="199"/>
      <c r="DBB206" s="199"/>
      <c r="DBC206" s="199"/>
      <c r="DBD206" s="199"/>
      <c r="DBE206" s="199"/>
      <c r="DBF206" s="199"/>
      <c r="DBG206" s="199"/>
      <c r="DBH206" s="199"/>
      <c r="DBI206" s="199"/>
      <c r="DBJ206" s="199"/>
      <c r="DBK206" s="199"/>
      <c r="DBL206" s="199"/>
      <c r="DBM206" s="199"/>
      <c r="DBN206" s="199"/>
      <c r="DBO206" s="199"/>
      <c r="DBP206" s="199"/>
      <c r="DBQ206" s="199"/>
      <c r="DBR206" s="199"/>
      <c r="DBS206" s="199"/>
      <c r="DBT206" s="199"/>
      <c r="DBU206" s="199"/>
      <c r="DBV206" s="199"/>
      <c r="DBW206" s="199"/>
      <c r="DBX206" s="199"/>
      <c r="DBY206" s="199"/>
      <c r="DBZ206" s="199"/>
      <c r="DCA206" s="199"/>
      <c r="DCB206" s="199"/>
      <c r="DCC206" s="199"/>
      <c r="DCD206" s="199"/>
      <c r="DCE206" s="199"/>
      <c r="DCF206" s="199"/>
      <c r="DCG206" s="199"/>
      <c r="DCH206" s="199"/>
      <c r="DCI206" s="199"/>
      <c r="DCJ206" s="199"/>
      <c r="DCK206" s="199"/>
      <c r="DCL206" s="199"/>
      <c r="DCM206" s="199"/>
      <c r="DCN206" s="199"/>
      <c r="DCO206" s="199"/>
      <c r="DCP206" s="199"/>
      <c r="DCQ206" s="199"/>
      <c r="DCR206" s="199"/>
      <c r="DCS206" s="199"/>
      <c r="DCT206" s="199"/>
      <c r="DCU206" s="199"/>
      <c r="DCV206" s="199"/>
      <c r="DCW206" s="199"/>
      <c r="DCX206" s="199"/>
      <c r="DCY206" s="199"/>
      <c r="DCZ206" s="199"/>
      <c r="DDA206" s="199"/>
      <c r="DDB206" s="199"/>
      <c r="DDC206" s="199"/>
      <c r="DDD206" s="199"/>
      <c r="DDE206" s="199"/>
      <c r="DDF206" s="199"/>
      <c r="DDG206" s="199"/>
      <c r="DDH206" s="199"/>
      <c r="DDI206" s="199"/>
      <c r="DDJ206" s="199"/>
      <c r="DDK206" s="199"/>
      <c r="DDL206" s="199"/>
      <c r="DDM206" s="199"/>
      <c r="DDN206" s="199"/>
      <c r="DDO206" s="199"/>
      <c r="DDP206" s="199"/>
      <c r="DDQ206" s="199"/>
      <c r="DDR206" s="199"/>
      <c r="DDS206" s="199"/>
      <c r="DDT206" s="199"/>
      <c r="DDU206" s="199"/>
      <c r="DDV206" s="199"/>
      <c r="DDW206" s="199"/>
      <c r="DDX206" s="199"/>
      <c r="DDY206" s="199"/>
      <c r="DDZ206" s="199"/>
      <c r="DEA206" s="199"/>
      <c r="DEB206" s="199"/>
      <c r="DEC206" s="199"/>
      <c r="DED206" s="199"/>
      <c r="DEE206" s="199"/>
      <c r="DEF206" s="199"/>
      <c r="DEG206" s="199"/>
      <c r="DEH206" s="199"/>
      <c r="DEI206" s="199"/>
      <c r="DEJ206" s="199"/>
      <c r="DEK206" s="199"/>
      <c r="DEL206" s="199"/>
      <c r="DEM206" s="199"/>
      <c r="DEN206" s="199"/>
      <c r="DEO206" s="199"/>
      <c r="DEP206" s="199"/>
      <c r="DEQ206" s="199"/>
      <c r="DER206" s="199"/>
      <c r="DES206" s="199"/>
      <c r="DET206" s="199"/>
      <c r="DEU206" s="199"/>
      <c r="DEV206" s="199"/>
      <c r="DEW206" s="199"/>
      <c r="DEX206" s="199"/>
      <c r="DEY206" s="199"/>
      <c r="DEZ206" s="199"/>
      <c r="DFA206" s="199"/>
      <c r="DFB206" s="199"/>
      <c r="DFC206" s="199"/>
      <c r="DFD206" s="199"/>
      <c r="DFE206" s="199"/>
      <c r="DFF206" s="199"/>
      <c r="DFG206" s="199"/>
      <c r="DFH206" s="199"/>
      <c r="DFI206" s="199"/>
      <c r="DFJ206" s="199"/>
      <c r="DFK206" s="199"/>
      <c r="DFL206" s="199"/>
      <c r="DFM206" s="199"/>
      <c r="DFN206" s="199"/>
      <c r="DFO206" s="199"/>
      <c r="DFP206" s="199"/>
      <c r="DFQ206" s="199"/>
      <c r="DFR206" s="199"/>
      <c r="DFS206" s="199"/>
      <c r="DFT206" s="199"/>
      <c r="DFU206" s="199"/>
      <c r="DFV206" s="199"/>
      <c r="DFW206" s="199"/>
      <c r="DFX206" s="199"/>
      <c r="DFY206" s="199"/>
      <c r="DFZ206" s="199"/>
      <c r="DGA206" s="199"/>
      <c r="DGB206" s="199"/>
      <c r="DGC206" s="199"/>
      <c r="DGD206" s="199"/>
      <c r="DGE206" s="199"/>
      <c r="DGF206" s="199"/>
      <c r="DGG206" s="199"/>
      <c r="DGH206" s="199"/>
      <c r="DGI206" s="199"/>
      <c r="DGJ206" s="199"/>
      <c r="DGK206" s="199"/>
      <c r="DGL206" s="199"/>
      <c r="DGM206" s="199"/>
      <c r="DGN206" s="199"/>
      <c r="DGO206" s="199"/>
      <c r="DGP206" s="199"/>
      <c r="DGQ206" s="199"/>
      <c r="DGR206" s="199"/>
      <c r="DGS206" s="199"/>
      <c r="DGT206" s="199"/>
      <c r="DGU206" s="199"/>
      <c r="DGV206" s="199"/>
      <c r="DGW206" s="199"/>
      <c r="DGX206" s="199"/>
      <c r="DGY206" s="199"/>
      <c r="DGZ206" s="199"/>
      <c r="DHA206" s="199"/>
      <c r="DHB206" s="199"/>
      <c r="DHC206" s="199"/>
      <c r="DHD206" s="199"/>
      <c r="DHE206" s="199"/>
      <c r="DHF206" s="199"/>
      <c r="DHG206" s="199"/>
      <c r="DHH206" s="199"/>
      <c r="DHI206" s="199"/>
      <c r="DHJ206" s="199"/>
      <c r="DHK206" s="199"/>
      <c r="DHL206" s="199"/>
      <c r="DHM206" s="199"/>
      <c r="DHN206" s="199"/>
      <c r="DHO206" s="199"/>
      <c r="DHP206" s="199"/>
      <c r="DHQ206" s="199"/>
      <c r="DHR206" s="199"/>
      <c r="DHS206" s="199"/>
      <c r="DHT206" s="199"/>
      <c r="DHU206" s="199"/>
      <c r="DHV206" s="199"/>
      <c r="DHW206" s="199"/>
      <c r="DHX206" s="199"/>
      <c r="DHY206" s="199"/>
      <c r="DHZ206" s="199"/>
      <c r="DIA206" s="199"/>
      <c r="DIB206" s="199"/>
      <c r="DIC206" s="199"/>
      <c r="DID206" s="199"/>
      <c r="DIE206" s="199"/>
      <c r="DIF206" s="199"/>
      <c r="DIG206" s="199"/>
      <c r="DIH206" s="199"/>
      <c r="DII206" s="199"/>
      <c r="DIJ206" s="199"/>
      <c r="DIK206" s="199"/>
      <c r="DIL206" s="199"/>
      <c r="DIM206" s="199"/>
      <c r="DIN206" s="199"/>
      <c r="DIO206" s="199"/>
      <c r="DIP206" s="199"/>
      <c r="DIQ206" s="199"/>
      <c r="DIR206" s="199"/>
      <c r="DIS206" s="199"/>
      <c r="DIT206" s="199"/>
      <c r="DIU206" s="199"/>
      <c r="DIV206" s="199"/>
      <c r="DIW206" s="199"/>
      <c r="DIX206" s="199"/>
      <c r="DIY206" s="199"/>
      <c r="DIZ206" s="199"/>
      <c r="DJA206" s="199"/>
      <c r="DJB206" s="199"/>
      <c r="DJC206" s="199"/>
      <c r="DJD206" s="199"/>
      <c r="DJE206" s="199"/>
      <c r="DJF206" s="199"/>
      <c r="DJG206" s="199"/>
      <c r="DJH206" s="199"/>
      <c r="DJI206" s="199"/>
      <c r="DJJ206" s="199"/>
      <c r="DJK206" s="199"/>
      <c r="DJL206" s="199"/>
      <c r="DJM206" s="199"/>
      <c r="DJN206" s="199"/>
      <c r="DJO206" s="199"/>
      <c r="DJP206" s="199"/>
      <c r="DJQ206" s="199"/>
      <c r="DJR206" s="199"/>
      <c r="DJS206" s="199"/>
      <c r="DJT206" s="199"/>
      <c r="DJU206" s="199"/>
      <c r="DJV206" s="199"/>
      <c r="DJW206" s="199"/>
      <c r="DJX206" s="199"/>
      <c r="DJY206" s="199"/>
      <c r="DJZ206" s="199"/>
      <c r="DKA206" s="199"/>
      <c r="DKB206" s="199"/>
      <c r="DKC206" s="199"/>
      <c r="DKD206" s="199"/>
      <c r="DKE206" s="199"/>
      <c r="DKF206" s="199"/>
      <c r="DKG206" s="199"/>
      <c r="DKH206" s="199"/>
      <c r="DKI206" s="199"/>
      <c r="DKJ206" s="199"/>
      <c r="DKK206" s="199"/>
      <c r="DKL206" s="199"/>
      <c r="DKM206" s="199"/>
      <c r="DKN206" s="199"/>
      <c r="DKO206" s="199"/>
      <c r="DKP206" s="199"/>
      <c r="DKQ206" s="199"/>
      <c r="DKR206" s="199"/>
      <c r="DKS206" s="199"/>
      <c r="DKT206" s="199"/>
      <c r="DKU206" s="199"/>
      <c r="DKV206" s="199"/>
      <c r="DKW206" s="199"/>
      <c r="DKX206" s="199"/>
      <c r="DKY206" s="199"/>
      <c r="DKZ206" s="199"/>
      <c r="DLA206" s="199"/>
      <c r="DLB206" s="199"/>
      <c r="DLC206" s="199"/>
      <c r="DLD206" s="199"/>
      <c r="DLE206" s="199"/>
      <c r="DLF206" s="199"/>
      <c r="DLG206" s="199"/>
      <c r="DLH206" s="199"/>
      <c r="DLI206" s="199"/>
      <c r="DLJ206" s="199"/>
      <c r="DLK206" s="199"/>
      <c r="DLL206" s="199"/>
      <c r="DLM206" s="199"/>
      <c r="DLN206" s="199"/>
      <c r="DLO206" s="199"/>
      <c r="DLP206" s="199"/>
      <c r="DLQ206" s="199"/>
      <c r="DLR206" s="199"/>
      <c r="DLS206" s="199"/>
      <c r="DLT206" s="199"/>
      <c r="DLU206" s="199"/>
      <c r="DLV206" s="199"/>
      <c r="DLW206" s="199"/>
      <c r="DLX206" s="199"/>
      <c r="DLY206" s="199"/>
      <c r="DLZ206" s="199"/>
      <c r="DMA206" s="199"/>
      <c r="DMB206" s="199"/>
      <c r="DMC206" s="199"/>
      <c r="DMD206" s="199"/>
      <c r="DME206" s="199"/>
      <c r="DMF206" s="199"/>
      <c r="DMG206" s="199"/>
      <c r="DMH206" s="199"/>
      <c r="DMI206" s="199"/>
      <c r="DMJ206" s="199"/>
      <c r="DMK206" s="199"/>
      <c r="DML206" s="199"/>
      <c r="DMM206" s="199"/>
      <c r="DMN206" s="199"/>
      <c r="DMO206" s="199"/>
      <c r="DMP206" s="199"/>
      <c r="DMQ206" s="199"/>
      <c r="DMR206" s="199"/>
      <c r="DMS206" s="199"/>
      <c r="DMT206" s="199"/>
      <c r="DMU206" s="199"/>
      <c r="DMV206" s="199"/>
      <c r="DMW206" s="199"/>
      <c r="DMX206" s="199"/>
      <c r="DMY206" s="199"/>
      <c r="DMZ206" s="199"/>
      <c r="DNA206" s="199"/>
      <c r="DNB206" s="199"/>
      <c r="DNC206" s="199"/>
      <c r="DND206" s="199"/>
      <c r="DNE206" s="199"/>
      <c r="DNF206" s="199"/>
      <c r="DNG206" s="199"/>
      <c r="DNH206" s="199"/>
      <c r="DNI206" s="199"/>
      <c r="DNJ206" s="199"/>
      <c r="DNK206" s="199"/>
      <c r="DNL206" s="199"/>
      <c r="DNM206" s="199"/>
      <c r="DNN206" s="199"/>
      <c r="DNO206" s="199"/>
      <c r="DNP206" s="199"/>
      <c r="DNQ206" s="199"/>
      <c r="DNR206" s="199"/>
      <c r="DNS206" s="199"/>
      <c r="DNT206" s="199"/>
      <c r="DNU206" s="199"/>
      <c r="DNV206" s="199"/>
      <c r="DNW206" s="199"/>
      <c r="DNX206" s="199"/>
      <c r="DNY206" s="199"/>
      <c r="DNZ206" s="199"/>
      <c r="DOA206" s="199"/>
      <c r="DOB206" s="199"/>
      <c r="DOC206" s="199"/>
      <c r="DOD206" s="199"/>
      <c r="DOE206" s="199"/>
      <c r="DOF206" s="199"/>
      <c r="DOG206" s="199"/>
      <c r="DOH206" s="199"/>
      <c r="DOI206" s="199"/>
      <c r="DOJ206" s="199"/>
      <c r="DOK206" s="199"/>
      <c r="DOL206" s="199"/>
      <c r="DOM206" s="199"/>
      <c r="DON206" s="199"/>
      <c r="DOO206" s="199"/>
      <c r="DOP206" s="199"/>
      <c r="DOQ206" s="199"/>
      <c r="DOR206" s="199"/>
      <c r="DOS206" s="199"/>
      <c r="DOT206" s="199"/>
      <c r="DOU206" s="199"/>
      <c r="DOV206" s="199"/>
      <c r="DOW206" s="199"/>
      <c r="DOX206" s="199"/>
      <c r="DOY206" s="199"/>
      <c r="DOZ206" s="199"/>
      <c r="DPA206" s="199"/>
      <c r="DPB206" s="199"/>
      <c r="DPC206" s="199"/>
      <c r="DPD206" s="199"/>
      <c r="DPE206" s="199"/>
      <c r="DPF206" s="199"/>
      <c r="DPG206" s="199"/>
      <c r="DPH206" s="199"/>
      <c r="DPI206" s="199"/>
      <c r="DPJ206" s="199"/>
      <c r="DPK206" s="199"/>
      <c r="DPL206" s="199"/>
      <c r="DPM206" s="199"/>
      <c r="DPN206" s="199"/>
      <c r="DPO206" s="199"/>
      <c r="DPP206" s="199"/>
      <c r="DPQ206" s="199"/>
      <c r="DPR206" s="199"/>
      <c r="DPS206" s="199"/>
      <c r="DPT206" s="199"/>
      <c r="DPU206" s="199"/>
      <c r="DPV206" s="199"/>
      <c r="DPW206" s="199"/>
      <c r="DPX206" s="199"/>
      <c r="DPY206" s="199"/>
      <c r="DPZ206" s="199"/>
      <c r="DQA206" s="199"/>
      <c r="DQB206" s="199"/>
      <c r="DQC206" s="199"/>
      <c r="DQD206" s="199"/>
      <c r="DQE206" s="199"/>
      <c r="DQF206" s="199"/>
      <c r="DQG206" s="199"/>
      <c r="DQH206" s="199"/>
      <c r="DQI206" s="199"/>
      <c r="DQJ206" s="199"/>
      <c r="DQK206" s="199"/>
      <c r="DQL206" s="199"/>
      <c r="DQM206" s="199"/>
      <c r="DQN206" s="199"/>
      <c r="DQO206" s="199"/>
      <c r="DQP206" s="199"/>
      <c r="DQQ206" s="199"/>
      <c r="DQR206" s="199"/>
      <c r="DQS206" s="199"/>
      <c r="DQT206" s="199"/>
      <c r="DQU206" s="199"/>
      <c r="DQV206" s="199"/>
      <c r="DQW206" s="199"/>
      <c r="DQX206" s="199"/>
      <c r="DQY206" s="199"/>
      <c r="DQZ206" s="199"/>
      <c r="DRA206" s="199"/>
      <c r="DRB206" s="199"/>
      <c r="DRC206" s="199"/>
      <c r="DRD206" s="199"/>
      <c r="DRE206" s="199"/>
      <c r="DRF206" s="199"/>
      <c r="DRG206" s="199"/>
      <c r="DRH206" s="199"/>
      <c r="DRI206" s="199"/>
      <c r="DRJ206" s="199"/>
      <c r="DRK206" s="199"/>
      <c r="DRL206" s="199"/>
      <c r="DRM206" s="199"/>
      <c r="DRN206" s="199"/>
      <c r="DRO206" s="199"/>
      <c r="DRP206" s="199"/>
      <c r="DRQ206" s="199"/>
      <c r="DRR206" s="199"/>
      <c r="DRS206" s="199"/>
      <c r="DRT206" s="199"/>
      <c r="DRU206" s="199"/>
      <c r="DRV206" s="199"/>
      <c r="DRW206" s="199"/>
      <c r="DRX206" s="199"/>
      <c r="DRY206" s="199"/>
      <c r="DRZ206" s="199"/>
      <c r="DSA206" s="199"/>
      <c r="DSB206" s="199"/>
      <c r="DSC206" s="199"/>
      <c r="DSD206" s="199"/>
      <c r="DSE206" s="199"/>
      <c r="DSF206" s="199"/>
      <c r="DSG206" s="199"/>
      <c r="DSH206" s="199"/>
      <c r="DSI206" s="199"/>
      <c r="DSJ206" s="199"/>
      <c r="DSK206" s="199"/>
      <c r="DSL206" s="199"/>
      <c r="DSM206" s="199"/>
      <c r="DSN206" s="199"/>
      <c r="DSO206" s="199"/>
      <c r="DSP206" s="199"/>
      <c r="DSQ206" s="199"/>
      <c r="DSR206" s="199"/>
      <c r="DSS206" s="199"/>
      <c r="DST206" s="199"/>
      <c r="DSU206" s="199"/>
      <c r="DSV206" s="199"/>
      <c r="DSW206" s="199"/>
      <c r="DSX206" s="199"/>
      <c r="DSY206" s="199"/>
      <c r="DSZ206" s="199"/>
      <c r="DTA206" s="199"/>
      <c r="DTB206" s="199"/>
      <c r="DTC206" s="199"/>
      <c r="DTD206" s="199"/>
      <c r="DTE206" s="199"/>
      <c r="DTF206" s="199"/>
      <c r="DTG206" s="199"/>
      <c r="DTH206" s="199"/>
      <c r="DTI206" s="199"/>
      <c r="DTJ206" s="199"/>
      <c r="DTK206" s="199"/>
      <c r="DTL206" s="199"/>
      <c r="DTM206" s="199"/>
      <c r="DTN206" s="199"/>
      <c r="DTO206" s="199"/>
      <c r="DTP206" s="199"/>
      <c r="DTQ206" s="199"/>
      <c r="DTR206" s="199"/>
      <c r="DTS206" s="199"/>
      <c r="DTT206" s="199"/>
      <c r="DTU206" s="199"/>
      <c r="DTV206" s="199"/>
      <c r="DTW206" s="199"/>
      <c r="DTX206" s="199"/>
      <c r="DTY206" s="199"/>
      <c r="DTZ206" s="199"/>
      <c r="DUA206" s="199"/>
      <c r="DUB206" s="199"/>
      <c r="DUC206" s="199"/>
      <c r="DUD206" s="199"/>
      <c r="DUE206" s="199"/>
      <c r="DUF206" s="199"/>
      <c r="DUG206" s="199"/>
      <c r="DUH206" s="199"/>
      <c r="DUI206" s="199"/>
      <c r="DUJ206" s="199"/>
      <c r="DUK206" s="199"/>
      <c r="DUL206" s="199"/>
      <c r="DUM206" s="199"/>
      <c r="DUN206" s="199"/>
      <c r="DUO206" s="199"/>
      <c r="DUP206" s="199"/>
      <c r="DUQ206" s="199"/>
      <c r="DUR206" s="199"/>
      <c r="DUS206" s="199"/>
      <c r="DUT206" s="199"/>
      <c r="DUU206" s="199"/>
      <c r="DUV206" s="199"/>
      <c r="DUW206" s="199"/>
      <c r="DUX206" s="199"/>
      <c r="DUY206" s="199"/>
      <c r="DUZ206" s="199"/>
      <c r="DVA206" s="199"/>
      <c r="DVB206" s="199"/>
      <c r="DVC206" s="199"/>
      <c r="DVD206" s="199"/>
      <c r="DVE206" s="199"/>
      <c r="DVF206" s="199"/>
      <c r="DVG206" s="199"/>
      <c r="DVH206" s="199"/>
      <c r="DVI206" s="199"/>
      <c r="DVJ206" s="199"/>
      <c r="DVK206" s="199"/>
      <c r="DVL206" s="199"/>
      <c r="DVM206" s="199"/>
      <c r="DVN206" s="199"/>
      <c r="DVO206" s="199"/>
      <c r="DVP206" s="199"/>
      <c r="DVQ206" s="199"/>
      <c r="DVR206" s="199"/>
      <c r="DVS206" s="199"/>
      <c r="DVT206" s="199"/>
      <c r="DVU206" s="199"/>
      <c r="DVV206" s="199"/>
      <c r="DVW206" s="199"/>
      <c r="DVX206" s="199"/>
      <c r="DVY206" s="199"/>
      <c r="DVZ206" s="199"/>
      <c r="DWA206" s="199"/>
      <c r="DWB206" s="199"/>
      <c r="DWC206" s="199"/>
      <c r="DWD206" s="199"/>
      <c r="DWE206" s="199"/>
      <c r="DWF206" s="199"/>
      <c r="DWG206" s="199"/>
      <c r="DWH206" s="199"/>
      <c r="DWI206" s="199"/>
      <c r="DWJ206" s="199"/>
      <c r="DWK206" s="199"/>
      <c r="DWL206" s="199"/>
      <c r="DWM206" s="199"/>
      <c r="DWN206" s="199"/>
      <c r="DWO206" s="199"/>
      <c r="DWP206" s="199"/>
      <c r="DWQ206" s="199"/>
      <c r="DWR206" s="199"/>
      <c r="DWS206" s="199"/>
      <c r="DWT206" s="199"/>
      <c r="DWU206" s="199"/>
      <c r="DWV206" s="199"/>
      <c r="DWW206" s="199"/>
      <c r="DWX206" s="199"/>
      <c r="DWY206" s="199"/>
      <c r="DWZ206" s="199"/>
      <c r="DXA206" s="199"/>
      <c r="DXB206" s="199"/>
      <c r="DXC206" s="199"/>
      <c r="DXD206" s="199"/>
      <c r="DXE206" s="199"/>
      <c r="DXF206" s="199"/>
      <c r="DXG206" s="199"/>
      <c r="DXH206" s="199"/>
      <c r="DXI206" s="199"/>
      <c r="DXJ206" s="199"/>
      <c r="DXK206" s="199"/>
      <c r="DXL206" s="199"/>
      <c r="DXM206" s="199"/>
      <c r="DXN206" s="199"/>
      <c r="DXO206" s="199"/>
      <c r="DXP206" s="199"/>
      <c r="DXQ206" s="199"/>
      <c r="DXR206" s="199"/>
      <c r="DXS206" s="199"/>
      <c r="DXT206" s="199"/>
      <c r="DXU206" s="199"/>
      <c r="DXV206" s="199"/>
      <c r="DXW206" s="199"/>
      <c r="DXX206" s="199"/>
      <c r="DXY206" s="199"/>
      <c r="DXZ206" s="199"/>
      <c r="DYA206" s="199"/>
      <c r="DYB206" s="199"/>
      <c r="DYC206" s="199"/>
      <c r="DYD206" s="199"/>
      <c r="DYE206" s="199"/>
      <c r="DYF206" s="199"/>
      <c r="DYG206" s="199"/>
      <c r="DYH206" s="199"/>
      <c r="DYI206" s="199"/>
      <c r="DYJ206" s="199"/>
      <c r="DYK206" s="199"/>
      <c r="DYL206" s="199"/>
      <c r="DYM206" s="199"/>
      <c r="DYN206" s="199"/>
      <c r="DYO206" s="199"/>
      <c r="DYP206" s="199"/>
      <c r="DYQ206" s="199"/>
      <c r="DYR206" s="199"/>
      <c r="DYS206" s="199"/>
      <c r="DYT206" s="199"/>
      <c r="DYU206" s="199"/>
      <c r="DYV206" s="199"/>
      <c r="DYW206" s="199"/>
      <c r="DYX206" s="199"/>
      <c r="DYY206" s="199"/>
      <c r="DYZ206" s="199"/>
      <c r="DZA206" s="199"/>
      <c r="DZB206" s="199"/>
      <c r="DZC206" s="199"/>
      <c r="DZD206" s="199"/>
      <c r="DZE206" s="199"/>
      <c r="DZF206" s="199"/>
      <c r="DZG206" s="199"/>
      <c r="DZH206" s="199"/>
      <c r="DZI206" s="199"/>
      <c r="DZJ206" s="199"/>
      <c r="DZK206" s="199"/>
      <c r="DZL206" s="199"/>
      <c r="DZM206" s="199"/>
      <c r="DZN206" s="199"/>
      <c r="DZO206" s="199"/>
      <c r="DZP206" s="199"/>
      <c r="DZQ206" s="199"/>
      <c r="DZR206" s="199"/>
      <c r="DZS206" s="199"/>
      <c r="DZT206" s="199"/>
      <c r="DZU206" s="199"/>
      <c r="DZV206" s="199"/>
      <c r="DZW206" s="199"/>
      <c r="DZX206" s="199"/>
      <c r="DZY206" s="199"/>
      <c r="DZZ206" s="199"/>
      <c r="EAA206" s="199"/>
      <c r="EAB206" s="199"/>
      <c r="EAC206" s="199"/>
      <c r="EAD206" s="199"/>
      <c r="EAE206" s="199"/>
      <c r="EAF206" s="199"/>
      <c r="EAG206" s="199"/>
      <c r="EAH206" s="199"/>
      <c r="EAI206" s="199"/>
      <c r="EAJ206" s="199"/>
      <c r="EAK206" s="199"/>
      <c r="EAL206" s="199"/>
      <c r="EAM206" s="199"/>
      <c r="EAN206" s="199"/>
      <c r="EAO206" s="199"/>
      <c r="EAP206" s="199"/>
      <c r="EAQ206" s="199"/>
      <c r="EAR206" s="199"/>
      <c r="EAS206" s="199"/>
      <c r="EAT206" s="199"/>
      <c r="EAU206" s="199"/>
      <c r="EAV206" s="199"/>
      <c r="EAW206" s="199"/>
      <c r="EAX206" s="199"/>
      <c r="EAY206" s="199"/>
      <c r="EAZ206" s="199"/>
      <c r="EBA206" s="199"/>
      <c r="EBB206" s="199"/>
      <c r="EBC206" s="199"/>
      <c r="EBD206" s="199"/>
      <c r="EBE206" s="199"/>
      <c r="EBF206" s="199"/>
      <c r="EBG206" s="199"/>
      <c r="EBH206" s="199"/>
      <c r="EBI206" s="199"/>
      <c r="EBJ206" s="199"/>
      <c r="EBK206" s="199"/>
      <c r="EBL206" s="199"/>
      <c r="EBM206" s="199"/>
      <c r="EBN206" s="199"/>
      <c r="EBO206" s="199"/>
      <c r="EBP206" s="199"/>
      <c r="EBQ206" s="199"/>
      <c r="EBR206" s="199"/>
      <c r="EBS206" s="199"/>
      <c r="EBT206" s="199"/>
      <c r="EBU206" s="199"/>
      <c r="EBV206" s="199"/>
      <c r="EBW206" s="199"/>
      <c r="EBX206" s="199"/>
      <c r="EBY206" s="199"/>
      <c r="EBZ206" s="199"/>
      <c r="ECA206" s="199"/>
      <c r="ECB206" s="199"/>
      <c r="ECC206" s="199"/>
      <c r="ECD206" s="199"/>
      <c r="ECE206" s="199"/>
      <c r="ECF206" s="199"/>
      <c r="ECG206" s="199"/>
      <c r="ECH206" s="199"/>
      <c r="ECI206" s="199"/>
      <c r="ECJ206" s="199"/>
      <c r="ECK206" s="199"/>
      <c r="ECL206" s="199"/>
      <c r="ECM206" s="199"/>
      <c r="ECN206" s="199"/>
      <c r="ECO206" s="199"/>
      <c r="ECP206" s="199"/>
      <c r="ECQ206" s="199"/>
      <c r="ECR206" s="199"/>
      <c r="ECS206" s="199"/>
      <c r="ECT206" s="199"/>
      <c r="ECU206" s="199"/>
      <c r="ECV206" s="199"/>
      <c r="ECW206" s="199"/>
      <c r="ECX206" s="199"/>
      <c r="ECY206" s="199"/>
      <c r="ECZ206" s="199"/>
      <c r="EDA206" s="199"/>
      <c r="EDB206" s="199"/>
      <c r="EDC206" s="199"/>
      <c r="EDD206" s="199"/>
      <c r="EDE206" s="199"/>
      <c r="EDF206" s="199"/>
      <c r="EDG206" s="199"/>
      <c r="EDH206" s="199"/>
      <c r="EDI206" s="199"/>
      <c r="EDJ206" s="199"/>
      <c r="EDK206" s="199"/>
      <c r="EDL206" s="199"/>
      <c r="EDM206" s="199"/>
      <c r="EDN206" s="199"/>
      <c r="EDO206" s="199"/>
      <c r="EDP206" s="199"/>
      <c r="EDQ206" s="199"/>
      <c r="EDR206" s="199"/>
      <c r="EDS206" s="199"/>
      <c r="EDT206" s="199"/>
      <c r="EDU206" s="199"/>
      <c r="EDV206" s="199"/>
      <c r="EDW206" s="199"/>
      <c r="EDX206" s="199"/>
      <c r="EDY206" s="199"/>
      <c r="EDZ206" s="199"/>
      <c r="EEA206" s="199"/>
      <c r="EEB206" s="199"/>
      <c r="EEC206" s="199"/>
      <c r="EED206" s="199"/>
      <c r="EEE206" s="199"/>
      <c r="EEF206" s="199"/>
      <c r="EEG206" s="199"/>
      <c r="EEH206" s="199"/>
      <c r="EEI206" s="199"/>
      <c r="EEJ206" s="199"/>
      <c r="EEK206" s="199"/>
      <c r="EEL206" s="199"/>
      <c r="EEM206" s="199"/>
      <c r="EEN206" s="199"/>
      <c r="EEO206" s="199"/>
      <c r="EEP206" s="199"/>
      <c r="EEQ206" s="199"/>
      <c r="EER206" s="199"/>
      <c r="EES206" s="199"/>
      <c r="EET206" s="199"/>
      <c r="EEU206" s="199"/>
      <c r="EEV206" s="199"/>
      <c r="EEW206" s="199"/>
      <c r="EEX206" s="199"/>
      <c r="EEY206" s="199"/>
      <c r="EEZ206" s="199"/>
      <c r="EFA206" s="199"/>
      <c r="EFB206" s="199"/>
      <c r="EFC206" s="199"/>
      <c r="EFD206" s="199"/>
      <c r="EFE206" s="199"/>
      <c r="EFF206" s="199"/>
      <c r="EFG206" s="199"/>
      <c r="EFH206" s="199"/>
      <c r="EFI206" s="199"/>
      <c r="EFJ206" s="199"/>
      <c r="EFK206" s="199"/>
      <c r="EFL206" s="199"/>
      <c r="EFM206" s="199"/>
      <c r="EFN206" s="199"/>
      <c r="EFO206" s="199"/>
      <c r="EFP206" s="199"/>
      <c r="EFQ206" s="199"/>
      <c r="EFR206" s="199"/>
      <c r="EFS206" s="199"/>
      <c r="EFT206" s="199"/>
      <c r="EFU206" s="199"/>
      <c r="EFV206" s="199"/>
      <c r="EFW206" s="199"/>
      <c r="EFX206" s="199"/>
      <c r="EFY206" s="199"/>
      <c r="EFZ206" s="199"/>
      <c r="EGA206" s="199"/>
      <c r="EGB206" s="199"/>
      <c r="EGC206" s="199"/>
      <c r="EGD206" s="199"/>
      <c r="EGE206" s="199"/>
      <c r="EGF206" s="199"/>
      <c r="EGG206" s="199"/>
      <c r="EGH206" s="199"/>
      <c r="EGI206" s="199"/>
      <c r="EGJ206" s="199"/>
      <c r="EGK206" s="199"/>
      <c r="EGL206" s="199"/>
      <c r="EGM206" s="199"/>
      <c r="EGN206" s="199"/>
      <c r="EGO206" s="199"/>
      <c r="EGP206" s="199"/>
      <c r="EGQ206" s="199"/>
      <c r="EGR206" s="199"/>
      <c r="EGS206" s="199"/>
      <c r="EGT206" s="199"/>
      <c r="EGU206" s="199"/>
      <c r="EGV206" s="199"/>
      <c r="EGW206" s="199"/>
      <c r="EGX206" s="199"/>
      <c r="EGY206" s="199"/>
      <c r="EGZ206" s="199"/>
      <c r="EHA206" s="199"/>
      <c r="EHB206" s="199"/>
      <c r="EHC206" s="199"/>
      <c r="EHD206" s="199"/>
      <c r="EHE206" s="199"/>
      <c r="EHF206" s="199"/>
      <c r="EHG206" s="199"/>
      <c r="EHH206" s="199"/>
      <c r="EHI206" s="199"/>
      <c r="EHJ206" s="199"/>
      <c r="EHK206" s="199"/>
      <c r="EHL206" s="199"/>
      <c r="EHM206" s="199"/>
      <c r="EHN206" s="199"/>
      <c r="EHO206" s="199"/>
      <c r="EHP206" s="199"/>
      <c r="EHQ206" s="199"/>
      <c r="EHR206" s="199"/>
      <c r="EHS206" s="199"/>
      <c r="EHT206" s="199"/>
      <c r="EHU206" s="199"/>
      <c r="EHV206" s="199"/>
      <c r="EHW206" s="199"/>
      <c r="EHX206" s="199"/>
      <c r="EHY206" s="199"/>
      <c r="EHZ206" s="199"/>
      <c r="EIA206" s="199"/>
      <c r="EIB206" s="199"/>
      <c r="EIC206" s="199"/>
      <c r="EID206" s="199"/>
      <c r="EIE206" s="199"/>
      <c r="EIF206" s="199"/>
      <c r="EIG206" s="199"/>
      <c r="EIH206" s="199"/>
      <c r="EII206" s="199"/>
      <c r="EIJ206" s="199"/>
      <c r="EIK206" s="199"/>
      <c r="EIL206" s="199"/>
      <c r="EIM206" s="199"/>
      <c r="EIN206" s="199"/>
      <c r="EIO206" s="199"/>
      <c r="EIP206" s="199"/>
      <c r="EIQ206" s="199"/>
      <c r="EIR206" s="199"/>
      <c r="EIS206" s="199"/>
      <c r="EIT206" s="199"/>
      <c r="EIU206" s="199"/>
      <c r="EIV206" s="199"/>
      <c r="EIW206" s="199"/>
      <c r="EIX206" s="199"/>
      <c r="EIY206" s="199"/>
      <c r="EIZ206" s="199"/>
      <c r="EJA206" s="199"/>
      <c r="EJB206" s="199"/>
      <c r="EJC206" s="199"/>
      <c r="EJD206" s="199"/>
      <c r="EJE206" s="199"/>
      <c r="EJF206" s="199"/>
      <c r="EJG206" s="199"/>
      <c r="EJH206" s="199"/>
      <c r="EJI206" s="199"/>
      <c r="EJJ206" s="199"/>
      <c r="EJK206" s="199"/>
      <c r="EJL206" s="199"/>
      <c r="EJM206" s="199"/>
      <c r="EJN206" s="199"/>
      <c r="EJO206" s="199"/>
      <c r="EJP206" s="199"/>
      <c r="EJQ206" s="199"/>
      <c r="EJR206" s="199"/>
      <c r="EJS206" s="199"/>
      <c r="EJT206" s="199"/>
      <c r="EJU206" s="199"/>
      <c r="EJV206" s="199"/>
      <c r="EJW206" s="199"/>
      <c r="EJX206" s="199"/>
      <c r="EJY206" s="199"/>
      <c r="EJZ206" s="199"/>
      <c r="EKA206" s="199"/>
      <c r="EKB206" s="199"/>
      <c r="EKC206" s="199"/>
      <c r="EKD206" s="199"/>
      <c r="EKE206" s="199"/>
      <c r="EKF206" s="199"/>
      <c r="EKG206" s="199"/>
      <c r="EKH206" s="199"/>
      <c r="EKI206" s="199"/>
      <c r="EKJ206" s="199"/>
      <c r="EKK206" s="199"/>
      <c r="EKL206" s="199"/>
      <c r="EKM206" s="199"/>
      <c r="EKN206" s="199"/>
      <c r="EKO206" s="199"/>
      <c r="EKP206" s="199"/>
      <c r="EKQ206" s="199"/>
      <c r="EKR206" s="199"/>
      <c r="EKS206" s="199"/>
      <c r="EKT206" s="199"/>
      <c r="EKU206" s="199"/>
      <c r="EKV206" s="199"/>
      <c r="EKW206" s="199"/>
      <c r="EKX206" s="199"/>
      <c r="EKY206" s="199"/>
      <c r="EKZ206" s="199"/>
      <c r="ELA206" s="199"/>
      <c r="ELB206" s="199"/>
      <c r="ELC206" s="199"/>
      <c r="ELD206" s="199"/>
      <c r="ELE206" s="199"/>
      <c r="ELF206" s="199"/>
      <c r="ELG206" s="199"/>
      <c r="ELH206" s="199"/>
      <c r="ELI206" s="199"/>
      <c r="ELJ206" s="199"/>
      <c r="ELK206" s="199"/>
      <c r="ELL206" s="199"/>
      <c r="ELM206" s="199"/>
      <c r="ELN206" s="199"/>
      <c r="ELO206" s="199"/>
      <c r="ELP206" s="199"/>
      <c r="ELQ206" s="199"/>
      <c r="ELR206" s="199"/>
      <c r="ELS206" s="199"/>
      <c r="ELT206" s="199"/>
      <c r="ELU206" s="199"/>
      <c r="ELV206" s="199"/>
      <c r="ELW206" s="199"/>
      <c r="ELX206" s="199"/>
      <c r="ELY206" s="199"/>
      <c r="ELZ206" s="199"/>
      <c r="EMA206" s="199"/>
      <c r="EMB206" s="199"/>
      <c r="EMC206" s="199"/>
      <c r="EMD206" s="199"/>
      <c r="EME206" s="199"/>
      <c r="EMF206" s="199"/>
      <c r="EMG206" s="199"/>
      <c r="EMH206" s="199"/>
      <c r="EMI206" s="199"/>
      <c r="EMJ206" s="199"/>
      <c r="EMK206" s="199"/>
      <c r="EML206" s="199"/>
      <c r="EMM206" s="199"/>
      <c r="EMN206" s="199"/>
      <c r="EMO206" s="199"/>
      <c r="EMP206" s="199"/>
      <c r="EMQ206" s="199"/>
      <c r="EMR206" s="199"/>
      <c r="EMS206" s="199"/>
      <c r="EMT206" s="199"/>
      <c r="EMU206" s="199"/>
      <c r="EMV206" s="199"/>
      <c r="EMW206" s="199"/>
      <c r="EMX206" s="199"/>
      <c r="EMY206" s="199"/>
      <c r="EMZ206" s="199"/>
      <c r="ENA206" s="199"/>
      <c r="ENB206" s="199"/>
      <c r="ENC206" s="199"/>
      <c r="END206" s="199"/>
      <c r="ENE206" s="199"/>
      <c r="ENF206" s="199"/>
      <c r="ENG206" s="199"/>
      <c r="ENH206" s="199"/>
      <c r="ENI206" s="199"/>
      <c r="ENJ206" s="199"/>
      <c r="ENK206" s="199"/>
      <c r="ENL206" s="199"/>
      <c r="ENM206" s="199"/>
      <c r="ENN206" s="199"/>
      <c r="ENO206" s="199"/>
      <c r="ENP206" s="199"/>
      <c r="ENQ206" s="199"/>
      <c r="ENR206" s="199"/>
      <c r="ENS206" s="199"/>
      <c r="ENT206" s="199"/>
      <c r="ENU206" s="199"/>
      <c r="ENV206" s="199"/>
      <c r="ENW206" s="199"/>
      <c r="ENX206" s="199"/>
      <c r="ENY206" s="199"/>
      <c r="ENZ206" s="199"/>
      <c r="EOA206" s="199"/>
      <c r="EOB206" s="199"/>
      <c r="EOC206" s="199"/>
      <c r="EOD206" s="199"/>
      <c r="EOE206" s="199"/>
      <c r="EOF206" s="199"/>
      <c r="EOG206" s="199"/>
      <c r="EOH206" s="199"/>
      <c r="EOI206" s="199"/>
      <c r="EOJ206" s="199"/>
      <c r="EOK206" s="199"/>
      <c r="EOL206" s="199"/>
      <c r="EOM206" s="199"/>
      <c r="EON206" s="199"/>
      <c r="EOO206" s="199"/>
      <c r="EOP206" s="199"/>
      <c r="EOQ206" s="199"/>
      <c r="EOR206" s="199"/>
      <c r="EOS206" s="199"/>
      <c r="EOT206" s="199"/>
      <c r="EOU206" s="199"/>
      <c r="EOV206" s="199"/>
      <c r="EOW206" s="199"/>
      <c r="EOX206" s="199"/>
      <c r="EOY206" s="199"/>
      <c r="EOZ206" s="199"/>
      <c r="EPA206" s="199"/>
      <c r="EPB206" s="199"/>
      <c r="EPC206" s="199"/>
      <c r="EPD206" s="199"/>
      <c r="EPE206" s="199"/>
      <c r="EPF206" s="199"/>
      <c r="EPG206" s="199"/>
      <c r="EPH206" s="199"/>
      <c r="EPI206" s="199"/>
      <c r="EPJ206" s="199"/>
      <c r="EPK206" s="199"/>
      <c r="EPL206" s="199"/>
      <c r="EPM206" s="199"/>
      <c r="EPN206" s="199"/>
      <c r="EPO206" s="199"/>
      <c r="EPP206" s="199"/>
      <c r="EPQ206" s="199"/>
      <c r="EPR206" s="199"/>
      <c r="EPS206" s="199"/>
      <c r="EPT206" s="199"/>
      <c r="EPU206" s="199"/>
      <c r="EPV206" s="199"/>
      <c r="EPW206" s="199"/>
      <c r="EPX206" s="199"/>
      <c r="EPY206" s="199"/>
      <c r="EPZ206" s="199"/>
      <c r="EQA206" s="199"/>
      <c r="EQB206" s="199"/>
      <c r="EQC206" s="199"/>
      <c r="EQD206" s="199"/>
      <c r="EQE206" s="199"/>
      <c r="EQF206" s="199"/>
      <c r="EQG206" s="199"/>
      <c r="EQH206" s="199"/>
      <c r="EQI206" s="199"/>
      <c r="EQJ206" s="199"/>
      <c r="EQK206" s="199"/>
      <c r="EQL206" s="199"/>
      <c r="EQM206" s="199"/>
      <c r="EQN206" s="199"/>
      <c r="EQO206" s="199"/>
      <c r="EQP206" s="199"/>
      <c r="EQQ206" s="199"/>
      <c r="EQR206" s="199"/>
      <c r="EQS206" s="199"/>
      <c r="EQT206" s="199"/>
      <c r="EQU206" s="199"/>
      <c r="EQV206" s="199"/>
      <c r="EQW206" s="199"/>
      <c r="EQX206" s="199"/>
      <c r="EQY206" s="199"/>
      <c r="EQZ206" s="199"/>
      <c r="ERA206" s="199"/>
      <c r="ERB206" s="199"/>
      <c r="ERC206" s="199"/>
      <c r="ERD206" s="199"/>
      <c r="ERE206" s="199"/>
      <c r="ERF206" s="199"/>
      <c r="ERG206" s="199"/>
      <c r="ERH206" s="199"/>
      <c r="ERI206" s="199"/>
      <c r="ERJ206" s="199"/>
      <c r="ERK206" s="199"/>
      <c r="ERL206" s="199"/>
      <c r="ERM206" s="199"/>
      <c r="ERN206" s="199"/>
      <c r="ERO206" s="199"/>
      <c r="ERP206" s="199"/>
      <c r="ERQ206" s="199"/>
      <c r="ERR206" s="199"/>
      <c r="ERS206" s="199"/>
      <c r="ERT206" s="199"/>
      <c r="ERU206" s="199"/>
      <c r="ERV206" s="199"/>
      <c r="ERW206" s="199"/>
      <c r="ERX206" s="199"/>
      <c r="ERY206" s="199"/>
      <c r="ERZ206" s="199"/>
      <c r="ESA206" s="199"/>
      <c r="ESB206" s="199"/>
      <c r="ESC206" s="199"/>
      <c r="ESD206" s="199"/>
      <c r="ESE206" s="199"/>
      <c r="ESF206" s="199"/>
      <c r="ESG206" s="199"/>
      <c r="ESH206" s="199"/>
      <c r="ESI206" s="199"/>
      <c r="ESJ206" s="199"/>
      <c r="ESK206" s="199"/>
      <c r="ESL206" s="199"/>
      <c r="ESM206" s="199"/>
      <c r="ESN206" s="199"/>
      <c r="ESO206" s="199"/>
      <c r="ESP206" s="199"/>
      <c r="ESQ206" s="199"/>
      <c r="ESR206" s="199"/>
      <c r="ESS206" s="199"/>
      <c r="EST206" s="199"/>
      <c r="ESU206" s="199"/>
      <c r="ESV206" s="199"/>
      <c r="ESW206" s="199"/>
      <c r="ESX206" s="199"/>
      <c r="ESY206" s="199"/>
      <c r="ESZ206" s="199"/>
      <c r="ETA206" s="199"/>
      <c r="ETB206" s="199"/>
      <c r="ETC206" s="199"/>
      <c r="ETD206" s="199"/>
      <c r="ETE206" s="199"/>
      <c r="ETF206" s="199"/>
      <c r="ETG206" s="199"/>
      <c r="ETH206" s="199"/>
      <c r="ETI206" s="199"/>
      <c r="ETJ206" s="199"/>
      <c r="ETK206" s="199"/>
      <c r="ETL206" s="199"/>
      <c r="ETM206" s="199"/>
      <c r="ETN206" s="199"/>
      <c r="ETO206" s="199"/>
      <c r="ETP206" s="199"/>
      <c r="ETQ206" s="199"/>
      <c r="ETR206" s="199"/>
      <c r="ETS206" s="199"/>
      <c r="ETT206" s="199"/>
      <c r="ETU206" s="199"/>
      <c r="ETV206" s="199"/>
      <c r="ETW206" s="199"/>
      <c r="ETX206" s="199"/>
      <c r="ETY206" s="199"/>
      <c r="ETZ206" s="199"/>
      <c r="EUA206" s="199"/>
      <c r="EUB206" s="199"/>
      <c r="EUC206" s="199"/>
      <c r="EUD206" s="199"/>
      <c r="EUE206" s="199"/>
      <c r="EUF206" s="199"/>
      <c r="EUG206" s="199"/>
      <c r="EUH206" s="199"/>
      <c r="EUI206" s="199"/>
      <c r="EUJ206" s="199"/>
      <c r="EUK206" s="199"/>
      <c r="EUL206" s="199"/>
      <c r="EUM206" s="199"/>
      <c r="EUN206" s="199"/>
      <c r="EUO206" s="199"/>
      <c r="EUP206" s="199"/>
      <c r="EUQ206" s="199"/>
      <c r="EUR206" s="199"/>
      <c r="EUS206" s="199"/>
      <c r="EUT206" s="199"/>
      <c r="EUU206" s="199"/>
      <c r="EUV206" s="199"/>
      <c r="EUW206" s="199"/>
      <c r="EUX206" s="199"/>
      <c r="EUY206" s="199"/>
      <c r="EUZ206" s="199"/>
      <c r="EVA206" s="199"/>
      <c r="EVB206" s="199"/>
      <c r="EVC206" s="199"/>
      <c r="EVD206" s="199"/>
      <c r="EVE206" s="199"/>
      <c r="EVF206" s="199"/>
      <c r="EVG206" s="199"/>
      <c r="EVH206" s="199"/>
      <c r="EVI206" s="199"/>
      <c r="EVJ206" s="199"/>
      <c r="EVK206" s="199"/>
      <c r="EVL206" s="199"/>
      <c r="EVM206" s="199"/>
      <c r="EVN206" s="199"/>
      <c r="EVO206" s="199"/>
      <c r="EVP206" s="199"/>
      <c r="EVQ206" s="199"/>
      <c r="EVR206" s="199"/>
      <c r="EVS206" s="199"/>
      <c r="EVT206" s="199"/>
      <c r="EVU206" s="199"/>
      <c r="EVV206" s="199"/>
      <c r="EVW206" s="199"/>
      <c r="EVX206" s="199"/>
      <c r="EVY206" s="199"/>
      <c r="EVZ206" s="199"/>
      <c r="EWA206" s="199"/>
      <c r="EWB206" s="199"/>
      <c r="EWC206" s="199"/>
      <c r="EWD206" s="199"/>
      <c r="EWE206" s="199"/>
      <c r="EWF206" s="199"/>
      <c r="EWG206" s="199"/>
      <c r="EWH206" s="199"/>
      <c r="EWI206" s="199"/>
      <c r="EWJ206" s="199"/>
      <c r="EWK206" s="199"/>
      <c r="EWL206" s="199"/>
      <c r="EWM206" s="199"/>
      <c r="EWN206" s="199"/>
      <c r="EWO206" s="199"/>
      <c r="EWP206" s="199"/>
      <c r="EWQ206" s="199"/>
      <c r="EWR206" s="199"/>
      <c r="EWS206" s="199"/>
      <c r="EWT206" s="199"/>
      <c r="EWU206" s="199"/>
      <c r="EWV206" s="199"/>
      <c r="EWW206" s="199"/>
      <c r="EWX206" s="199"/>
      <c r="EWY206" s="199"/>
      <c r="EWZ206" s="199"/>
      <c r="EXA206" s="199"/>
      <c r="EXB206" s="199"/>
      <c r="EXC206" s="199"/>
      <c r="EXD206" s="199"/>
      <c r="EXE206" s="199"/>
      <c r="EXF206" s="199"/>
      <c r="EXG206" s="199"/>
      <c r="EXH206" s="199"/>
      <c r="EXI206" s="199"/>
      <c r="EXJ206" s="199"/>
      <c r="EXK206" s="199"/>
      <c r="EXL206" s="199"/>
      <c r="EXM206" s="199"/>
      <c r="EXN206" s="199"/>
      <c r="EXO206" s="199"/>
      <c r="EXP206" s="199"/>
      <c r="EXQ206" s="199"/>
      <c r="EXR206" s="199"/>
      <c r="EXS206" s="199"/>
      <c r="EXT206" s="199"/>
      <c r="EXU206" s="199"/>
      <c r="EXV206" s="199"/>
      <c r="EXW206" s="199"/>
      <c r="EXX206" s="199"/>
      <c r="EXY206" s="199"/>
      <c r="EXZ206" s="199"/>
      <c r="EYA206" s="199"/>
      <c r="EYB206" s="199"/>
      <c r="EYC206" s="199"/>
      <c r="EYD206" s="199"/>
      <c r="EYE206" s="199"/>
      <c r="EYF206" s="199"/>
      <c r="EYG206" s="199"/>
      <c r="EYH206" s="199"/>
      <c r="EYI206" s="199"/>
      <c r="EYJ206" s="199"/>
      <c r="EYK206" s="199"/>
      <c r="EYL206" s="199"/>
      <c r="EYM206" s="199"/>
      <c r="EYN206" s="199"/>
      <c r="EYO206" s="199"/>
      <c r="EYP206" s="199"/>
      <c r="EYQ206" s="199"/>
      <c r="EYR206" s="199"/>
      <c r="EYS206" s="199"/>
      <c r="EYT206" s="199"/>
      <c r="EYU206" s="199"/>
      <c r="EYV206" s="199"/>
      <c r="EYW206" s="199"/>
      <c r="EYX206" s="199"/>
      <c r="EYY206" s="199"/>
      <c r="EYZ206" s="199"/>
      <c r="EZA206" s="199"/>
      <c r="EZB206" s="199"/>
      <c r="EZC206" s="199"/>
      <c r="EZD206" s="199"/>
      <c r="EZE206" s="199"/>
      <c r="EZF206" s="199"/>
      <c r="EZG206" s="199"/>
      <c r="EZH206" s="199"/>
      <c r="EZI206" s="199"/>
      <c r="EZJ206" s="199"/>
      <c r="EZK206" s="199"/>
      <c r="EZL206" s="199"/>
      <c r="EZM206" s="199"/>
      <c r="EZN206" s="199"/>
      <c r="EZO206" s="199"/>
      <c r="EZP206" s="199"/>
      <c r="EZQ206" s="199"/>
      <c r="EZR206" s="199"/>
      <c r="EZS206" s="199"/>
      <c r="EZT206" s="199"/>
      <c r="EZU206" s="199"/>
      <c r="EZV206" s="199"/>
      <c r="EZW206" s="199"/>
      <c r="EZX206" s="199"/>
      <c r="EZY206" s="199"/>
      <c r="EZZ206" s="199"/>
      <c r="FAA206" s="199"/>
      <c r="FAB206" s="199"/>
      <c r="FAC206" s="199"/>
      <c r="FAD206" s="199"/>
      <c r="FAE206" s="199"/>
      <c r="FAF206" s="199"/>
      <c r="FAG206" s="199"/>
      <c r="FAH206" s="199"/>
      <c r="FAI206" s="199"/>
      <c r="FAJ206" s="199"/>
      <c r="FAK206" s="199"/>
      <c r="FAL206" s="199"/>
      <c r="FAM206" s="199"/>
      <c r="FAN206" s="199"/>
      <c r="FAO206" s="199"/>
      <c r="FAP206" s="199"/>
      <c r="FAQ206" s="199"/>
      <c r="FAR206" s="199"/>
      <c r="FAS206" s="199"/>
      <c r="FAT206" s="199"/>
      <c r="FAU206" s="199"/>
      <c r="FAV206" s="199"/>
      <c r="FAW206" s="199"/>
      <c r="FAX206" s="199"/>
      <c r="FAY206" s="199"/>
      <c r="FAZ206" s="199"/>
      <c r="FBA206" s="199"/>
      <c r="FBB206" s="199"/>
      <c r="FBC206" s="199"/>
      <c r="FBD206" s="199"/>
      <c r="FBE206" s="199"/>
      <c r="FBF206" s="199"/>
      <c r="FBG206" s="199"/>
      <c r="FBH206" s="199"/>
      <c r="FBI206" s="199"/>
      <c r="FBJ206" s="199"/>
      <c r="FBK206" s="199"/>
      <c r="FBL206" s="199"/>
      <c r="FBM206" s="199"/>
      <c r="FBN206" s="199"/>
      <c r="FBO206" s="199"/>
      <c r="FBP206" s="199"/>
      <c r="FBQ206" s="199"/>
      <c r="FBR206" s="199"/>
      <c r="FBS206" s="199"/>
      <c r="FBT206" s="199"/>
      <c r="FBU206" s="199"/>
      <c r="FBV206" s="199"/>
      <c r="FBW206" s="199"/>
      <c r="FBX206" s="199"/>
      <c r="FBY206" s="199"/>
      <c r="FBZ206" s="199"/>
      <c r="FCA206" s="199"/>
      <c r="FCB206" s="199"/>
      <c r="FCC206" s="199"/>
      <c r="FCD206" s="199"/>
      <c r="FCE206" s="199"/>
      <c r="FCF206" s="199"/>
      <c r="FCG206" s="199"/>
      <c r="FCH206" s="199"/>
      <c r="FCI206" s="199"/>
      <c r="FCJ206" s="199"/>
      <c r="FCK206" s="199"/>
      <c r="FCL206" s="199"/>
      <c r="FCM206" s="199"/>
      <c r="FCN206" s="199"/>
      <c r="FCO206" s="199"/>
      <c r="FCP206" s="199"/>
      <c r="FCQ206" s="199"/>
      <c r="FCR206" s="199"/>
      <c r="FCS206" s="199"/>
      <c r="FCT206" s="199"/>
      <c r="FCU206" s="199"/>
      <c r="FCV206" s="199"/>
      <c r="FCW206" s="199"/>
      <c r="FCX206" s="199"/>
      <c r="FCY206" s="199"/>
      <c r="FCZ206" s="199"/>
      <c r="FDA206" s="199"/>
      <c r="FDB206" s="199"/>
      <c r="FDC206" s="199"/>
      <c r="FDD206" s="199"/>
      <c r="FDE206" s="199"/>
      <c r="FDF206" s="199"/>
      <c r="FDG206" s="199"/>
      <c r="FDH206" s="199"/>
      <c r="FDI206" s="199"/>
      <c r="FDJ206" s="199"/>
      <c r="FDK206" s="199"/>
      <c r="FDL206" s="199"/>
      <c r="FDM206" s="199"/>
      <c r="FDN206" s="199"/>
      <c r="FDO206" s="199"/>
      <c r="FDP206" s="199"/>
      <c r="FDQ206" s="199"/>
      <c r="FDR206" s="199"/>
      <c r="FDS206" s="199"/>
      <c r="FDT206" s="199"/>
      <c r="FDU206" s="199"/>
      <c r="FDV206" s="199"/>
      <c r="FDW206" s="199"/>
      <c r="FDX206" s="199"/>
      <c r="FDY206" s="199"/>
      <c r="FDZ206" s="199"/>
      <c r="FEA206" s="199"/>
      <c r="FEB206" s="199"/>
      <c r="FEC206" s="199"/>
      <c r="FED206" s="199"/>
      <c r="FEE206" s="199"/>
      <c r="FEF206" s="199"/>
      <c r="FEG206" s="199"/>
      <c r="FEH206" s="199"/>
      <c r="FEI206" s="199"/>
      <c r="FEJ206" s="199"/>
      <c r="FEK206" s="199"/>
      <c r="FEL206" s="199"/>
      <c r="FEM206" s="199"/>
      <c r="FEN206" s="199"/>
      <c r="FEO206" s="199"/>
      <c r="FEP206" s="199"/>
      <c r="FEQ206" s="199"/>
      <c r="FER206" s="199"/>
      <c r="FES206" s="199"/>
      <c r="FET206" s="199"/>
      <c r="FEU206" s="199"/>
      <c r="FEV206" s="199"/>
      <c r="FEW206" s="199"/>
      <c r="FEX206" s="199"/>
      <c r="FEY206" s="199"/>
      <c r="FEZ206" s="199"/>
      <c r="FFA206" s="199"/>
      <c r="FFB206" s="199"/>
      <c r="FFC206" s="199"/>
      <c r="FFD206" s="199"/>
      <c r="FFE206" s="199"/>
      <c r="FFF206" s="199"/>
      <c r="FFG206" s="199"/>
      <c r="FFH206" s="199"/>
      <c r="FFI206" s="199"/>
      <c r="FFJ206" s="199"/>
      <c r="FFK206" s="199"/>
      <c r="FFL206" s="199"/>
      <c r="FFM206" s="199"/>
      <c r="FFN206" s="199"/>
      <c r="FFO206" s="199"/>
      <c r="FFP206" s="199"/>
      <c r="FFQ206" s="199"/>
      <c r="FFR206" s="199"/>
      <c r="FFS206" s="199"/>
      <c r="FFT206" s="199"/>
      <c r="FFU206" s="199"/>
      <c r="FFV206" s="199"/>
      <c r="FFW206" s="199"/>
      <c r="FFX206" s="199"/>
      <c r="FFY206" s="199"/>
      <c r="FFZ206" s="199"/>
      <c r="FGA206" s="199"/>
      <c r="FGB206" s="199"/>
      <c r="FGC206" s="199"/>
      <c r="FGD206" s="199"/>
      <c r="FGE206" s="199"/>
      <c r="FGF206" s="199"/>
      <c r="FGG206" s="199"/>
      <c r="FGH206" s="199"/>
      <c r="FGI206" s="199"/>
      <c r="FGJ206" s="199"/>
      <c r="FGK206" s="199"/>
      <c r="FGL206" s="199"/>
      <c r="FGM206" s="199"/>
      <c r="FGN206" s="199"/>
      <c r="FGO206" s="199"/>
      <c r="FGP206" s="199"/>
      <c r="FGQ206" s="199"/>
      <c r="FGR206" s="199"/>
      <c r="FGS206" s="199"/>
      <c r="FGT206" s="199"/>
      <c r="FGU206" s="199"/>
      <c r="FGV206" s="199"/>
      <c r="FGW206" s="199"/>
      <c r="FGX206" s="199"/>
      <c r="FGY206" s="199"/>
      <c r="FGZ206" s="199"/>
      <c r="FHA206" s="199"/>
      <c r="FHB206" s="199"/>
      <c r="FHC206" s="199"/>
      <c r="FHD206" s="199"/>
      <c r="FHE206" s="199"/>
      <c r="FHF206" s="199"/>
      <c r="FHG206" s="199"/>
      <c r="FHH206" s="199"/>
      <c r="FHI206" s="199"/>
      <c r="FHJ206" s="199"/>
      <c r="FHK206" s="199"/>
      <c r="FHL206" s="199"/>
      <c r="FHM206" s="199"/>
      <c r="FHN206" s="199"/>
      <c r="FHO206" s="199"/>
      <c r="FHP206" s="199"/>
      <c r="FHQ206" s="199"/>
      <c r="FHR206" s="199"/>
      <c r="FHS206" s="199"/>
      <c r="FHT206" s="199"/>
      <c r="FHU206" s="199"/>
      <c r="FHV206" s="199"/>
      <c r="FHW206" s="199"/>
      <c r="FHX206" s="199"/>
      <c r="FHY206" s="199"/>
      <c r="FHZ206" s="199"/>
      <c r="FIA206" s="199"/>
      <c r="FIB206" s="199"/>
      <c r="FIC206" s="199"/>
      <c r="FID206" s="199"/>
      <c r="FIE206" s="199"/>
      <c r="FIF206" s="199"/>
      <c r="FIG206" s="199"/>
      <c r="FIH206" s="199"/>
      <c r="FII206" s="199"/>
      <c r="FIJ206" s="199"/>
      <c r="FIK206" s="199"/>
      <c r="FIL206" s="199"/>
      <c r="FIM206" s="199"/>
      <c r="FIN206" s="199"/>
      <c r="FIO206" s="199"/>
      <c r="FIP206" s="199"/>
      <c r="FIQ206" s="199"/>
      <c r="FIR206" s="199"/>
      <c r="FIS206" s="199"/>
      <c r="FIT206" s="199"/>
      <c r="FIU206" s="199"/>
      <c r="FIV206" s="199"/>
      <c r="FIW206" s="199"/>
      <c r="FIX206" s="199"/>
      <c r="FIY206" s="199"/>
      <c r="FIZ206" s="199"/>
      <c r="FJA206" s="199"/>
      <c r="FJB206" s="199"/>
      <c r="FJC206" s="199"/>
      <c r="FJD206" s="199"/>
      <c r="FJE206" s="199"/>
      <c r="FJF206" s="199"/>
      <c r="FJG206" s="199"/>
      <c r="FJH206" s="199"/>
      <c r="FJI206" s="199"/>
      <c r="FJJ206" s="199"/>
      <c r="FJK206" s="199"/>
      <c r="FJL206" s="199"/>
      <c r="FJM206" s="199"/>
      <c r="FJN206" s="199"/>
      <c r="FJO206" s="199"/>
      <c r="FJP206" s="199"/>
      <c r="FJQ206" s="199"/>
      <c r="FJR206" s="199"/>
      <c r="FJS206" s="199"/>
      <c r="FJT206" s="199"/>
      <c r="FJU206" s="199"/>
      <c r="FJV206" s="199"/>
      <c r="FJW206" s="199"/>
      <c r="FJX206" s="199"/>
      <c r="FJY206" s="199"/>
      <c r="FJZ206" s="199"/>
      <c r="FKA206" s="199"/>
      <c r="FKB206" s="199"/>
      <c r="FKC206" s="199"/>
      <c r="FKD206" s="199"/>
      <c r="FKE206" s="199"/>
      <c r="FKF206" s="199"/>
      <c r="FKG206" s="199"/>
      <c r="FKH206" s="199"/>
      <c r="FKI206" s="199"/>
      <c r="FKJ206" s="199"/>
      <c r="FKK206" s="199"/>
      <c r="FKL206" s="199"/>
      <c r="FKM206" s="199"/>
      <c r="FKN206" s="199"/>
      <c r="FKO206" s="199"/>
      <c r="FKP206" s="199"/>
      <c r="FKQ206" s="199"/>
      <c r="FKR206" s="199"/>
      <c r="FKS206" s="199"/>
      <c r="FKT206" s="199"/>
      <c r="FKU206" s="199"/>
      <c r="FKV206" s="199"/>
      <c r="FKW206" s="199"/>
      <c r="FKX206" s="199"/>
      <c r="FKY206" s="199"/>
      <c r="FKZ206" s="199"/>
      <c r="FLA206" s="199"/>
      <c r="FLB206" s="199"/>
      <c r="FLC206" s="199"/>
      <c r="FLD206" s="199"/>
      <c r="FLE206" s="199"/>
      <c r="FLF206" s="199"/>
      <c r="FLG206" s="199"/>
      <c r="FLH206" s="199"/>
      <c r="FLI206" s="199"/>
      <c r="FLJ206" s="199"/>
      <c r="FLK206" s="199"/>
      <c r="FLL206" s="199"/>
      <c r="FLM206" s="199"/>
      <c r="FLN206" s="199"/>
      <c r="FLO206" s="199"/>
      <c r="FLP206" s="199"/>
      <c r="FLQ206" s="199"/>
      <c r="FLR206" s="199"/>
      <c r="FLS206" s="199"/>
      <c r="FLT206" s="199"/>
      <c r="FLU206" s="199"/>
      <c r="FLV206" s="199"/>
      <c r="FLW206" s="199"/>
      <c r="FLX206" s="199"/>
      <c r="FLY206" s="199"/>
      <c r="FLZ206" s="199"/>
      <c r="FMA206" s="199"/>
      <c r="FMB206" s="199"/>
      <c r="FMC206" s="199"/>
      <c r="FMD206" s="199"/>
      <c r="FME206" s="199"/>
      <c r="FMF206" s="199"/>
      <c r="FMG206" s="199"/>
      <c r="FMH206" s="199"/>
      <c r="FMI206" s="199"/>
      <c r="FMJ206" s="199"/>
      <c r="FMK206" s="199"/>
      <c r="FML206" s="199"/>
      <c r="FMM206" s="199"/>
      <c r="FMN206" s="199"/>
      <c r="FMO206" s="199"/>
      <c r="FMP206" s="199"/>
      <c r="FMQ206" s="199"/>
      <c r="FMR206" s="199"/>
      <c r="FMS206" s="199"/>
      <c r="FMT206" s="199"/>
      <c r="FMU206" s="199"/>
      <c r="FMV206" s="199"/>
      <c r="FMW206" s="199"/>
      <c r="FMX206" s="199"/>
      <c r="FMY206" s="199"/>
      <c r="FMZ206" s="199"/>
      <c r="FNA206" s="199"/>
      <c r="FNB206" s="199"/>
      <c r="FNC206" s="199"/>
      <c r="FND206" s="199"/>
      <c r="FNE206" s="199"/>
      <c r="FNF206" s="199"/>
      <c r="FNG206" s="199"/>
      <c r="FNH206" s="199"/>
      <c r="FNI206" s="199"/>
      <c r="FNJ206" s="199"/>
      <c r="FNK206" s="199"/>
      <c r="FNL206" s="199"/>
      <c r="FNM206" s="199"/>
      <c r="FNN206" s="199"/>
      <c r="FNO206" s="199"/>
      <c r="FNP206" s="199"/>
      <c r="FNQ206" s="199"/>
      <c r="FNR206" s="199"/>
      <c r="FNS206" s="199"/>
      <c r="FNT206" s="199"/>
      <c r="FNU206" s="199"/>
      <c r="FNV206" s="199"/>
      <c r="FNW206" s="199"/>
      <c r="FNX206" s="199"/>
      <c r="FNY206" s="199"/>
      <c r="FNZ206" s="199"/>
      <c r="FOA206" s="199"/>
      <c r="FOB206" s="199"/>
      <c r="FOC206" s="199"/>
      <c r="FOD206" s="199"/>
      <c r="FOE206" s="199"/>
      <c r="FOF206" s="199"/>
      <c r="FOG206" s="199"/>
      <c r="FOH206" s="199"/>
      <c r="FOI206" s="199"/>
      <c r="FOJ206" s="199"/>
      <c r="FOK206" s="199"/>
      <c r="FOL206" s="199"/>
      <c r="FOM206" s="199"/>
      <c r="FON206" s="199"/>
      <c r="FOO206" s="199"/>
      <c r="FOP206" s="199"/>
      <c r="FOQ206" s="199"/>
      <c r="FOR206" s="199"/>
      <c r="FOS206" s="199"/>
      <c r="FOT206" s="199"/>
      <c r="FOU206" s="199"/>
      <c r="FOV206" s="199"/>
      <c r="FOW206" s="199"/>
      <c r="FOX206" s="199"/>
      <c r="FOY206" s="199"/>
      <c r="FOZ206" s="199"/>
      <c r="FPA206" s="199"/>
      <c r="FPB206" s="199"/>
      <c r="FPC206" s="199"/>
      <c r="FPD206" s="199"/>
      <c r="FPE206" s="199"/>
      <c r="FPF206" s="199"/>
      <c r="FPG206" s="199"/>
      <c r="FPH206" s="199"/>
      <c r="FPI206" s="199"/>
      <c r="FPJ206" s="199"/>
      <c r="FPK206" s="199"/>
      <c r="FPL206" s="199"/>
      <c r="FPM206" s="199"/>
      <c r="FPN206" s="199"/>
      <c r="FPO206" s="199"/>
      <c r="FPP206" s="199"/>
      <c r="FPQ206" s="199"/>
      <c r="FPR206" s="199"/>
      <c r="FPS206" s="199"/>
      <c r="FPT206" s="199"/>
      <c r="FPU206" s="199"/>
      <c r="FPV206" s="199"/>
      <c r="FPW206" s="199"/>
      <c r="FPX206" s="199"/>
      <c r="FPY206" s="199"/>
      <c r="FPZ206" s="199"/>
      <c r="FQA206" s="199"/>
      <c r="FQB206" s="199"/>
      <c r="FQC206" s="199"/>
      <c r="FQD206" s="199"/>
      <c r="FQE206" s="199"/>
      <c r="FQF206" s="199"/>
      <c r="FQG206" s="199"/>
      <c r="FQH206" s="199"/>
      <c r="FQI206" s="199"/>
      <c r="FQJ206" s="199"/>
      <c r="FQK206" s="199"/>
      <c r="FQL206" s="199"/>
      <c r="FQM206" s="199"/>
      <c r="FQN206" s="199"/>
      <c r="FQO206" s="199"/>
      <c r="FQP206" s="199"/>
      <c r="FQQ206" s="199"/>
      <c r="FQR206" s="199"/>
      <c r="FQS206" s="199"/>
      <c r="FQT206" s="199"/>
      <c r="FQU206" s="199"/>
      <c r="FQV206" s="199"/>
      <c r="FQW206" s="199"/>
      <c r="FQX206" s="199"/>
      <c r="FQY206" s="199"/>
      <c r="FQZ206" s="199"/>
      <c r="FRA206" s="199"/>
      <c r="FRB206" s="199"/>
      <c r="FRC206" s="199"/>
      <c r="FRD206" s="199"/>
      <c r="FRE206" s="199"/>
      <c r="FRF206" s="199"/>
      <c r="FRG206" s="199"/>
      <c r="FRH206" s="199"/>
      <c r="FRI206" s="199"/>
      <c r="FRJ206" s="199"/>
      <c r="FRK206" s="199"/>
      <c r="FRL206" s="199"/>
      <c r="FRM206" s="199"/>
      <c r="FRN206" s="199"/>
      <c r="FRO206" s="199"/>
      <c r="FRP206" s="199"/>
      <c r="FRQ206" s="199"/>
      <c r="FRR206" s="199"/>
      <c r="FRS206" s="199"/>
      <c r="FRT206" s="199"/>
      <c r="FRU206" s="199"/>
      <c r="FRV206" s="199"/>
      <c r="FRW206" s="199"/>
      <c r="FRX206" s="199"/>
      <c r="FRY206" s="199"/>
      <c r="FRZ206" s="199"/>
      <c r="FSA206" s="199"/>
      <c r="FSB206" s="199"/>
      <c r="FSC206" s="199"/>
      <c r="FSD206" s="199"/>
      <c r="FSE206" s="199"/>
      <c r="FSF206" s="199"/>
      <c r="FSG206" s="199"/>
      <c r="FSH206" s="199"/>
      <c r="FSI206" s="199"/>
      <c r="FSJ206" s="199"/>
      <c r="FSK206" s="199"/>
      <c r="FSL206" s="199"/>
      <c r="FSM206" s="199"/>
      <c r="FSN206" s="199"/>
      <c r="FSO206" s="199"/>
      <c r="FSP206" s="199"/>
      <c r="FSQ206" s="199"/>
      <c r="FSR206" s="199"/>
      <c r="FSS206" s="199"/>
      <c r="FST206" s="199"/>
      <c r="FSU206" s="199"/>
      <c r="FSV206" s="199"/>
      <c r="FSW206" s="199"/>
      <c r="FSX206" s="199"/>
      <c r="FSY206" s="199"/>
      <c r="FSZ206" s="199"/>
      <c r="FTA206" s="199"/>
      <c r="FTB206" s="199"/>
      <c r="FTC206" s="199"/>
      <c r="FTD206" s="199"/>
      <c r="FTE206" s="199"/>
      <c r="FTF206" s="199"/>
      <c r="FTG206" s="199"/>
      <c r="FTH206" s="199"/>
      <c r="FTI206" s="199"/>
      <c r="FTJ206" s="199"/>
      <c r="FTK206" s="199"/>
      <c r="FTL206" s="199"/>
      <c r="FTM206" s="199"/>
      <c r="FTN206" s="199"/>
      <c r="FTO206" s="199"/>
      <c r="FTP206" s="199"/>
      <c r="FTQ206" s="199"/>
      <c r="FTR206" s="199"/>
      <c r="FTS206" s="199"/>
      <c r="FTT206" s="199"/>
      <c r="FTU206" s="199"/>
      <c r="FTV206" s="199"/>
      <c r="FTW206" s="199"/>
      <c r="FTX206" s="199"/>
      <c r="FTY206" s="199"/>
      <c r="FTZ206" s="199"/>
      <c r="FUA206" s="199"/>
      <c r="FUB206" s="199"/>
      <c r="FUC206" s="199"/>
      <c r="FUD206" s="199"/>
      <c r="FUE206" s="199"/>
      <c r="FUF206" s="199"/>
      <c r="FUG206" s="199"/>
      <c r="FUH206" s="199"/>
      <c r="FUI206" s="199"/>
      <c r="FUJ206" s="199"/>
      <c r="FUK206" s="199"/>
      <c r="FUL206" s="199"/>
      <c r="FUM206" s="199"/>
      <c r="FUN206" s="199"/>
      <c r="FUO206" s="199"/>
      <c r="FUP206" s="199"/>
      <c r="FUQ206" s="199"/>
      <c r="FUR206" s="199"/>
      <c r="FUS206" s="199"/>
      <c r="FUT206" s="199"/>
      <c r="FUU206" s="199"/>
      <c r="FUV206" s="199"/>
      <c r="FUW206" s="199"/>
      <c r="FUX206" s="199"/>
      <c r="FUY206" s="199"/>
      <c r="FUZ206" s="199"/>
      <c r="FVA206" s="199"/>
      <c r="FVB206" s="199"/>
      <c r="FVC206" s="199"/>
      <c r="FVD206" s="199"/>
      <c r="FVE206" s="199"/>
      <c r="FVF206" s="199"/>
      <c r="FVG206" s="199"/>
      <c r="FVH206" s="199"/>
      <c r="FVI206" s="199"/>
      <c r="FVJ206" s="199"/>
      <c r="FVK206" s="199"/>
      <c r="FVL206" s="199"/>
      <c r="FVM206" s="199"/>
      <c r="FVN206" s="199"/>
      <c r="FVO206" s="199"/>
      <c r="FVP206" s="199"/>
      <c r="FVQ206" s="199"/>
      <c r="FVR206" s="199"/>
      <c r="FVS206" s="199"/>
      <c r="FVT206" s="199"/>
      <c r="FVU206" s="199"/>
      <c r="FVV206" s="199"/>
      <c r="FVW206" s="199"/>
      <c r="FVX206" s="199"/>
      <c r="FVY206" s="199"/>
      <c r="FVZ206" s="199"/>
      <c r="FWA206" s="199"/>
      <c r="FWB206" s="199"/>
      <c r="FWC206" s="199"/>
      <c r="FWD206" s="199"/>
      <c r="FWE206" s="199"/>
      <c r="FWF206" s="199"/>
      <c r="FWG206" s="199"/>
      <c r="FWH206" s="199"/>
      <c r="FWI206" s="199"/>
      <c r="FWJ206" s="199"/>
      <c r="FWK206" s="199"/>
      <c r="FWL206" s="199"/>
      <c r="FWM206" s="199"/>
      <c r="FWN206" s="199"/>
      <c r="FWO206" s="199"/>
      <c r="FWP206" s="199"/>
      <c r="FWQ206" s="199"/>
      <c r="FWR206" s="199"/>
      <c r="FWS206" s="199"/>
      <c r="FWT206" s="199"/>
      <c r="FWU206" s="199"/>
      <c r="FWV206" s="199"/>
      <c r="FWW206" s="199"/>
      <c r="FWX206" s="199"/>
      <c r="FWY206" s="199"/>
      <c r="FWZ206" s="199"/>
      <c r="FXA206" s="199"/>
      <c r="FXB206" s="199"/>
      <c r="FXC206" s="199"/>
      <c r="FXD206" s="199"/>
      <c r="FXE206" s="199"/>
      <c r="FXF206" s="199"/>
      <c r="FXG206" s="199"/>
      <c r="FXH206" s="199"/>
      <c r="FXI206" s="199"/>
      <c r="FXJ206" s="199"/>
      <c r="FXK206" s="199"/>
      <c r="FXL206" s="199"/>
      <c r="FXM206" s="199"/>
      <c r="FXN206" s="199"/>
      <c r="FXO206" s="199"/>
      <c r="FXP206" s="199"/>
      <c r="FXQ206" s="199"/>
      <c r="FXR206" s="199"/>
      <c r="FXS206" s="199"/>
      <c r="FXT206" s="199"/>
      <c r="FXU206" s="199"/>
      <c r="FXV206" s="199"/>
      <c r="FXW206" s="199"/>
      <c r="FXX206" s="199"/>
      <c r="FXY206" s="199"/>
      <c r="FXZ206" s="199"/>
      <c r="FYA206" s="199"/>
      <c r="FYB206" s="199"/>
      <c r="FYC206" s="199"/>
      <c r="FYD206" s="199"/>
      <c r="FYE206" s="199"/>
      <c r="FYF206" s="199"/>
      <c r="FYG206" s="199"/>
      <c r="FYH206" s="199"/>
      <c r="FYI206" s="199"/>
      <c r="FYJ206" s="199"/>
      <c r="FYK206" s="199"/>
      <c r="FYL206" s="199"/>
      <c r="FYM206" s="199"/>
      <c r="FYN206" s="199"/>
      <c r="FYO206" s="199"/>
      <c r="FYP206" s="199"/>
      <c r="FYQ206" s="199"/>
      <c r="FYR206" s="199"/>
      <c r="FYS206" s="199"/>
      <c r="FYT206" s="199"/>
      <c r="FYU206" s="199"/>
      <c r="FYV206" s="199"/>
      <c r="FYW206" s="199"/>
      <c r="FYX206" s="199"/>
      <c r="FYY206" s="199"/>
      <c r="FYZ206" s="199"/>
      <c r="FZA206" s="199"/>
      <c r="FZB206" s="199"/>
      <c r="FZC206" s="199"/>
      <c r="FZD206" s="199"/>
      <c r="FZE206" s="199"/>
      <c r="FZF206" s="199"/>
      <c r="FZG206" s="199"/>
      <c r="FZH206" s="199"/>
      <c r="FZI206" s="199"/>
      <c r="FZJ206" s="199"/>
      <c r="FZK206" s="199"/>
      <c r="FZL206" s="199"/>
      <c r="FZM206" s="199"/>
      <c r="FZN206" s="199"/>
      <c r="FZO206" s="199"/>
      <c r="FZP206" s="199"/>
      <c r="FZQ206" s="199"/>
      <c r="FZR206" s="199"/>
      <c r="FZS206" s="199"/>
      <c r="FZT206" s="199"/>
      <c r="FZU206" s="199"/>
      <c r="FZV206" s="199"/>
      <c r="FZW206" s="199"/>
      <c r="FZX206" s="199"/>
      <c r="FZY206" s="199"/>
      <c r="FZZ206" s="199"/>
      <c r="GAA206" s="199"/>
      <c r="GAB206" s="199"/>
      <c r="GAC206" s="199"/>
      <c r="GAD206" s="199"/>
      <c r="GAE206" s="199"/>
      <c r="GAF206" s="199"/>
      <c r="GAG206" s="199"/>
      <c r="GAH206" s="199"/>
      <c r="GAI206" s="199"/>
      <c r="GAJ206" s="199"/>
      <c r="GAK206" s="199"/>
      <c r="GAL206" s="199"/>
      <c r="GAM206" s="199"/>
      <c r="GAN206" s="199"/>
      <c r="GAO206" s="199"/>
      <c r="GAP206" s="199"/>
      <c r="GAQ206" s="199"/>
      <c r="GAR206" s="199"/>
      <c r="GAS206" s="199"/>
      <c r="GAT206" s="199"/>
      <c r="GAU206" s="199"/>
      <c r="GAV206" s="199"/>
      <c r="GAW206" s="199"/>
      <c r="GAX206" s="199"/>
      <c r="GAY206" s="199"/>
      <c r="GAZ206" s="199"/>
      <c r="GBA206" s="199"/>
      <c r="GBB206" s="199"/>
      <c r="GBC206" s="199"/>
      <c r="GBD206" s="199"/>
      <c r="GBE206" s="199"/>
      <c r="GBF206" s="199"/>
      <c r="GBG206" s="199"/>
      <c r="GBH206" s="199"/>
      <c r="GBI206" s="199"/>
      <c r="GBJ206" s="199"/>
      <c r="GBK206" s="199"/>
      <c r="GBL206" s="199"/>
      <c r="GBM206" s="199"/>
      <c r="GBN206" s="199"/>
      <c r="GBO206" s="199"/>
      <c r="GBP206" s="199"/>
      <c r="GBQ206" s="199"/>
      <c r="GBR206" s="199"/>
      <c r="GBS206" s="199"/>
      <c r="GBT206" s="199"/>
      <c r="GBU206" s="199"/>
      <c r="GBV206" s="199"/>
      <c r="GBW206" s="199"/>
      <c r="GBX206" s="199"/>
      <c r="GBY206" s="199"/>
      <c r="GBZ206" s="199"/>
      <c r="GCA206" s="199"/>
      <c r="GCB206" s="199"/>
      <c r="GCC206" s="199"/>
      <c r="GCD206" s="199"/>
      <c r="GCE206" s="199"/>
      <c r="GCF206" s="199"/>
      <c r="GCG206" s="199"/>
      <c r="GCH206" s="199"/>
      <c r="GCI206" s="199"/>
      <c r="GCJ206" s="199"/>
      <c r="GCK206" s="199"/>
      <c r="GCL206" s="199"/>
      <c r="GCM206" s="199"/>
      <c r="GCN206" s="199"/>
      <c r="GCO206" s="199"/>
      <c r="GCP206" s="199"/>
      <c r="GCQ206" s="199"/>
      <c r="GCR206" s="199"/>
      <c r="GCS206" s="199"/>
      <c r="GCT206" s="199"/>
      <c r="GCU206" s="199"/>
      <c r="GCV206" s="199"/>
      <c r="GCW206" s="199"/>
      <c r="GCX206" s="199"/>
      <c r="GCY206" s="199"/>
      <c r="GCZ206" s="199"/>
      <c r="GDA206" s="199"/>
      <c r="GDB206" s="199"/>
      <c r="GDC206" s="199"/>
      <c r="GDD206" s="199"/>
      <c r="GDE206" s="199"/>
      <c r="GDF206" s="199"/>
      <c r="GDG206" s="199"/>
      <c r="GDH206" s="199"/>
      <c r="GDI206" s="199"/>
      <c r="GDJ206" s="199"/>
      <c r="GDK206" s="199"/>
      <c r="GDL206" s="199"/>
      <c r="GDM206" s="199"/>
      <c r="GDN206" s="199"/>
      <c r="GDO206" s="199"/>
      <c r="GDP206" s="199"/>
      <c r="GDQ206" s="199"/>
      <c r="GDR206" s="199"/>
      <c r="GDS206" s="199"/>
      <c r="GDT206" s="199"/>
      <c r="GDU206" s="199"/>
      <c r="GDV206" s="199"/>
      <c r="GDW206" s="199"/>
      <c r="GDX206" s="199"/>
      <c r="GDY206" s="199"/>
      <c r="GDZ206" s="199"/>
      <c r="GEA206" s="199"/>
      <c r="GEB206" s="199"/>
      <c r="GEC206" s="199"/>
      <c r="GED206" s="199"/>
      <c r="GEE206" s="199"/>
      <c r="GEF206" s="199"/>
      <c r="GEG206" s="199"/>
      <c r="GEH206" s="199"/>
      <c r="GEI206" s="199"/>
      <c r="GEJ206" s="199"/>
      <c r="GEK206" s="199"/>
      <c r="GEL206" s="199"/>
      <c r="GEM206" s="199"/>
      <c r="GEN206" s="199"/>
      <c r="GEO206" s="199"/>
      <c r="GEP206" s="199"/>
      <c r="GEQ206" s="199"/>
      <c r="GER206" s="199"/>
      <c r="GES206" s="199"/>
      <c r="GET206" s="199"/>
      <c r="GEU206" s="199"/>
      <c r="GEV206" s="199"/>
      <c r="GEW206" s="199"/>
      <c r="GEX206" s="199"/>
      <c r="GEY206" s="199"/>
      <c r="GEZ206" s="199"/>
      <c r="GFA206" s="199"/>
      <c r="GFB206" s="199"/>
      <c r="GFC206" s="199"/>
      <c r="GFD206" s="199"/>
      <c r="GFE206" s="199"/>
      <c r="GFF206" s="199"/>
      <c r="GFG206" s="199"/>
      <c r="GFH206" s="199"/>
      <c r="GFI206" s="199"/>
      <c r="GFJ206" s="199"/>
      <c r="GFK206" s="199"/>
      <c r="GFL206" s="199"/>
      <c r="GFM206" s="199"/>
      <c r="GFN206" s="199"/>
      <c r="GFO206" s="199"/>
      <c r="GFP206" s="199"/>
      <c r="GFQ206" s="199"/>
      <c r="GFR206" s="199"/>
      <c r="GFS206" s="199"/>
      <c r="GFT206" s="199"/>
      <c r="GFU206" s="199"/>
      <c r="GFV206" s="199"/>
      <c r="GFW206" s="199"/>
      <c r="GFX206" s="199"/>
      <c r="GFY206" s="199"/>
      <c r="GFZ206" s="199"/>
      <c r="GGA206" s="199"/>
      <c r="GGB206" s="199"/>
      <c r="GGC206" s="199"/>
      <c r="GGD206" s="199"/>
      <c r="GGE206" s="199"/>
      <c r="GGF206" s="199"/>
      <c r="GGG206" s="199"/>
      <c r="GGH206" s="199"/>
      <c r="GGI206" s="199"/>
      <c r="GGJ206" s="199"/>
      <c r="GGK206" s="199"/>
      <c r="GGL206" s="199"/>
      <c r="GGM206" s="199"/>
      <c r="GGN206" s="199"/>
      <c r="GGO206" s="199"/>
      <c r="GGP206" s="199"/>
      <c r="GGQ206" s="199"/>
      <c r="GGR206" s="199"/>
      <c r="GGS206" s="199"/>
      <c r="GGT206" s="199"/>
      <c r="GGU206" s="199"/>
      <c r="GGV206" s="199"/>
      <c r="GGW206" s="199"/>
      <c r="GGX206" s="199"/>
      <c r="GGY206" s="199"/>
      <c r="GGZ206" s="199"/>
      <c r="GHA206" s="199"/>
      <c r="GHB206" s="199"/>
      <c r="GHC206" s="199"/>
      <c r="GHD206" s="199"/>
      <c r="GHE206" s="199"/>
      <c r="GHF206" s="199"/>
      <c r="GHG206" s="199"/>
      <c r="GHH206" s="199"/>
      <c r="GHI206" s="199"/>
      <c r="GHJ206" s="199"/>
      <c r="GHK206" s="199"/>
      <c r="GHL206" s="199"/>
      <c r="GHM206" s="199"/>
      <c r="GHN206" s="199"/>
      <c r="GHO206" s="199"/>
      <c r="GHP206" s="199"/>
      <c r="GHQ206" s="199"/>
      <c r="GHR206" s="199"/>
      <c r="GHS206" s="199"/>
      <c r="GHT206" s="199"/>
      <c r="GHU206" s="199"/>
      <c r="GHV206" s="199"/>
      <c r="GHW206" s="199"/>
      <c r="GHX206" s="199"/>
      <c r="GHY206" s="199"/>
      <c r="GHZ206" s="199"/>
      <c r="GIA206" s="199"/>
      <c r="GIB206" s="199"/>
      <c r="GIC206" s="199"/>
      <c r="GID206" s="199"/>
      <c r="GIE206" s="199"/>
      <c r="GIF206" s="199"/>
      <c r="GIG206" s="199"/>
      <c r="GIH206" s="199"/>
      <c r="GII206" s="199"/>
      <c r="GIJ206" s="199"/>
      <c r="GIK206" s="199"/>
      <c r="GIL206" s="199"/>
      <c r="GIM206" s="199"/>
      <c r="GIN206" s="199"/>
      <c r="GIO206" s="199"/>
      <c r="GIP206" s="199"/>
      <c r="GIQ206" s="199"/>
      <c r="GIR206" s="199"/>
      <c r="GIS206" s="199"/>
      <c r="GIT206" s="199"/>
      <c r="GIU206" s="199"/>
      <c r="GIV206" s="199"/>
      <c r="GIW206" s="199"/>
      <c r="GIX206" s="199"/>
      <c r="GIY206" s="199"/>
      <c r="GIZ206" s="199"/>
      <c r="GJA206" s="199"/>
      <c r="GJB206" s="199"/>
      <c r="GJC206" s="199"/>
      <c r="GJD206" s="199"/>
      <c r="GJE206" s="199"/>
      <c r="GJF206" s="199"/>
      <c r="GJG206" s="199"/>
      <c r="GJH206" s="199"/>
      <c r="GJI206" s="199"/>
      <c r="GJJ206" s="199"/>
      <c r="GJK206" s="199"/>
      <c r="GJL206" s="199"/>
      <c r="GJM206" s="199"/>
      <c r="GJN206" s="199"/>
      <c r="GJO206" s="199"/>
      <c r="GJP206" s="199"/>
      <c r="GJQ206" s="199"/>
      <c r="GJR206" s="199"/>
      <c r="GJS206" s="199"/>
      <c r="GJT206" s="199"/>
      <c r="GJU206" s="199"/>
      <c r="GJV206" s="199"/>
      <c r="GJW206" s="199"/>
      <c r="GJX206" s="199"/>
      <c r="GJY206" s="199"/>
      <c r="GJZ206" s="199"/>
      <c r="GKA206" s="199"/>
      <c r="GKB206" s="199"/>
      <c r="GKC206" s="199"/>
      <c r="GKD206" s="199"/>
      <c r="GKE206" s="199"/>
      <c r="GKF206" s="199"/>
      <c r="GKG206" s="199"/>
      <c r="GKH206" s="199"/>
      <c r="GKI206" s="199"/>
      <c r="GKJ206" s="199"/>
      <c r="GKK206" s="199"/>
      <c r="GKL206" s="199"/>
      <c r="GKM206" s="199"/>
      <c r="GKN206" s="199"/>
      <c r="GKO206" s="199"/>
      <c r="GKP206" s="199"/>
      <c r="GKQ206" s="199"/>
      <c r="GKR206" s="199"/>
      <c r="GKS206" s="199"/>
      <c r="GKT206" s="199"/>
      <c r="GKU206" s="199"/>
      <c r="GKV206" s="199"/>
      <c r="GKW206" s="199"/>
      <c r="GKX206" s="199"/>
      <c r="GKY206" s="199"/>
      <c r="GKZ206" s="199"/>
      <c r="GLA206" s="199"/>
      <c r="GLB206" s="199"/>
      <c r="GLC206" s="199"/>
      <c r="GLD206" s="199"/>
      <c r="GLE206" s="199"/>
      <c r="GLF206" s="199"/>
      <c r="GLG206" s="199"/>
      <c r="GLH206" s="199"/>
      <c r="GLI206" s="199"/>
      <c r="GLJ206" s="199"/>
      <c r="GLK206" s="199"/>
      <c r="GLL206" s="199"/>
      <c r="GLM206" s="199"/>
      <c r="GLN206" s="199"/>
      <c r="GLO206" s="199"/>
      <c r="GLP206" s="199"/>
      <c r="GLQ206" s="199"/>
      <c r="GLR206" s="199"/>
      <c r="GLS206" s="199"/>
      <c r="GLT206" s="199"/>
      <c r="GLU206" s="199"/>
      <c r="GLV206" s="199"/>
      <c r="GLW206" s="199"/>
      <c r="GLX206" s="199"/>
      <c r="GLY206" s="199"/>
      <c r="GLZ206" s="199"/>
      <c r="GMA206" s="199"/>
      <c r="GMB206" s="199"/>
      <c r="GMC206" s="199"/>
      <c r="GMD206" s="199"/>
      <c r="GME206" s="199"/>
      <c r="GMF206" s="199"/>
      <c r="GMG206" s="199"/>
      <c r="GMH206" s="199"/>
      <c r="GMI206" s="199"/>
      <c r="GMJ206" s="199"/>
      <c r="GMK206" s="199"/>
      <c r="GML206" s="199"/>
      <c r="GMM206" s="199"/>
      <c r="GMN206" s="199"/>
      <c r="GMO206" s="199"/>
      <c r="GMP206" s="199"/>
      <c r="GMQ206" s="199"/>
      <c r="GMR206" s="199"/>
      <c r="GMS206" s="199"/>
      <c r="GMT206" s="199"/>
      <c r="GMU206" s="199"/>
      <c r="GMV206" s="199"/>
      <c r="GMW206" s="199"/>
      <c r="GMX206" s="199"/>
      <c r="GMY206" s="199"/>
      <c r="GMZ206" s="199"/>
      <c r="GNA206" s="199"/>
      <c r="GNB206" s="199"/>
      <c r="GNC206" s="199"/>
      <c r="GND206" s="199"/>
      <c r="GNE206" s="199"/>
      <c r="GNF206" s="199"/>
      <c r="GNG206" s="199"/>
      <c r="GNH206" s="199"/>
      <c r="GNI206" s="199"/>
      <c r="GNJ206" s="199"/>
      <c r="GNK206" s="199"/>
      <c r="GNL206" s="199"/>
      <c r="GNM206" s="199"/>
      <c r="GNN206" s="199"/>
      <c r="GNO206" s="199"/>
      <c r="GNP206" s="199"/>
      <c r="GNQ206" s="199"/>
      <c r="GNR206" s="199"/>
      <c r="GNS206" s="199"/>
      <c r="GNT206" s="199"/>
      <c r="GNU206" s="199"/>
      <c r="GNV206" s="199"/>
      <c r="GNW206" s="199"/>
      <c r="GNX206" s="199"/>
      <c r="GNY206" s="199"/>
      <c r="GNZ206" s="199"/>
      <c r="GOA206" s="199"/>
      <c r="GOB206" s="199"/>
      <c r="GOC206" s="199"/>
      <c r="GOD206" s="199"/>
      <c r="GOE206" s="199"/>
      <c r="GOF206" s="199"/>
      <c r="GOG206" s="199"/>
      <c r="GOH206" s="199"/>
      <c r="GOI206" s="199"/>
      <c r="GOJ206" s="199"/>
      <c r="GOK206" s="199"/>
      <c r="GOL206" s="199"/>
      <c r="GOM206" s="199"/>
      <c r="GON206" s="199"/>
      <c r="GOO206" s="199"/>
      <c r="GOP206" s="199"/>
      <c r="GOQ206" s="199"/>
      <c r="GOR206" s="199"/>
      <c r="GOS206" s="199"/>
      <c r="GOT206" s="199"/>
      <c r="GOU206" s="199"/>
      <c r="GOV206" s="199"/>
      <c r="GOW206" s="199"/>
      <c r="GOX206" s="199"/>
      <c r="GOY206" s="199"/>
      <c r="GOZ206" s="199"/>
      <c r="GPA206" s="199"/>
      <c r="GPB206" s="199"/>
      <c r="GPC206" s="199"/>
      <c r="GPD206" s="199"/>
      <c r="GPE206" s="199"/>
      <c r="GPF206" s="199"/>
      <c r="GPG206" s="199"/>
      <c r="GPH206" s="199"/>
      <c r="GPI206" s="199"/>
      <c r="GPJ206" s="199"/>
      <c r="GPK206" s="199"/>
      <c r="GPL206" s="199"/>
      <c r="GPM206" s="199"/>
      <c r="GPN206" s="199"/>
      <c r="GPO206" s="199"/>
      <c r="GPP206" s="199"/>
      <c r="GPQ206" s="199"/>
      <c r="GPR206" s="199"/>
      <c r="GPS206" s="199"/>
      <c r="GPT206" s="199"/>
      <c r="GPU206" s="199"/>
      <c r="GPV206" s="199"/>
      <c r="GPW206" s="199"/>
      <c r="GPX206" s="199"/>
      <c r="GPY206" s="199"/>
      <c r="GPZ206" s="199"/>
      <c r="GQA206" s="199"/>
      <c r="GQB206" s="199"/>
      <c r="GQC206" s="199"/>
      <c r="GQD206" s="199"/>
      <c r="GQE206" s="199"/>
      <c r="GQF206" s="199"/>
      <c r="GQG206" s="199"/>
      <c r="GQH206" s="199"/>
      <c r="GQI206" s="199"/>
      <c r="GQJ206" s="199"/>
      <c r="GQK206" s="199"/>
      <c r="GQL206" s="199"/>
      <c r="GQM206" s="199"/>
      <c r="GQN206" s="199"/>
      <c r="GQO206" s="199"/>
      <c r="GQP206" s="199"/>
      <c r="GQQ206" s="199"/>
      <c r="GQR206" s="199"/>
      <c r="GQS206" s="199"/>
      <c r="GQT206" s="199"/>
      <c r="GQU206" s="199"/>
      <c r="GQV206" s="199"/>
      <c r="GQW206" s="199"/>
      <c r="GQX206" s="199"/>
      <c r="GQY206" s="199"/>
      <c r="GQZ206" s="199"/>
      <c r="GRA206" s="199"/>
      <c r="GRB206" s="199"/>
      <c r="GRC206" s="199"/>
      <c r="GRD206" s="199"/>
      <c r="GRE206" s="199"/>
      <c r="GRF206" s="199"/>
      <c r="GRG206" s="199"/>
      <c r="GRH206" s="199"/>
      <c r="GRI206" s="199"/>
      <c r="GRJ206" s="199"/>
      <c r="GRK206" s="199"/>
      <c r="GRL206" s="199"/>
      <c r="GRM206" s="199"/>
      <c r="GRN206" s="199"/>
      <c r="GRO206" s="199"/>
      <c r="GRP206" s="199"/>
      <c r="GRQ206" s="199"/>
      <c r="GRR206" s="199"/>
      <c r="GRS206" s="199"/>
      <c r="GRT206" s="199"/>
      <c r="GRU206" s="199"/>
      <c r="GRV206" s="199"/>
      <c r="GRW206" s="199"/>
      <c r="GRX206" s="199"/>
      <c r="GRY206" s="199"/>
      <c r="GRZ206" s="199"/>
      <c r="GSA206" s="199"/>
      <c r="GSB206" s="199"/>
      <c r="GSC206" s="199"/>
      <c r="GSD206" s="199"/>
      <c r="GSE206" s="199"/>
      <c r="GSF206" s="199"/>
      <c r="GSG206" s="199"/>
      <c r="GSH206" s="199"/>
      <c r="GSI206" s="199"/>
      <c r="GSJ206" s="199"/>
      <c r="GSK206" s="199"/>
      <c r="GSL206" s="199"/>
      <c r="GSM206" s="199"/>
      <c r="GSN206" s="199"/>
      <c r="GSO206" s="199"/>
      <c r="GSP206" s="199"/>
      <c r="GSQ206" s="199"/>
      <c r="GSR206" s="199"/>
      <c r="GSS206" s="199"/>
      <c r="GST206" s="199"/>
      <c r="GSU206" s="199"/>
      <c r="GSV206" s="199"/>
      <c r="GSW206" s="199"/>
      <c r="GSX206" s="199"/>
      <c r="GSY206" s="199"/>
      <c r="GSZ206" s="199"/>
      <c r="GTA206" s="199"/>
      <c r="GTB206" s="199"/>
      <c r="GTC206" s="199"/>
      <c r="GTD206" s="199"/>
      <c r="GTE206" s="199"/>
      <c r="GTF206" s="199"/>
      <c r="GTG206" s="199"/>
      <c r="GTH206" s="199"/>
      <c r="GTI206" s="199"/>
      <c r="GTJ206" s="199"/>
      <c r="GTK206" s="199"/>
      <c r="GTL206" s="199"/>
      <c r="GTM206" s="199"/>
      <c r="GTN206" s="199"/>
      <c r="GTO206" s="199"/>
      <c r="GTP206" s="199"/>
      <c r="GTQ206" s="199"/>
      <c r="GTR206" s="199"/>
      <c r="GTS206" s="199"/>
      <c r="GTT206" s="199"/>
      <c r="GTU206" s="199"/>
      <c r="GTV206" s="199"/>
      <c r="GTW206" s="199"/>
      <c r="GTX206" s="199"/>
      <c r="GTY206" s="199"/>
      <c r="GTZ206" s="199"/>
      <c r="GUA206" s="199"/>
      <c r="GUB206" s="199"/>
      <c r="GUC206" s="199"/>
      <c r="GUD206" s="199"/>
      <c r="GUE206" s="199"/>
      <c r="GUF206" s="199"/>
      <c r="GUG206" s="199"/>
      <c r="GUH206" s="199"/>
      <c r="GUI206" s="199"/>
      <c r="GUJ206" s="199"/>
      <c r="GUK206" s="199"/>
      <c r="GUL206" s="199"/>
      <c r="GUM206" s="199"/>
      <c r="GUN206" s="199"/>
      <c r="GUO206" s="199"/>
      <c r="GUP206" s="199"/>
      <c r="GUQ206" s="199"/>
      <c r="GUR206" s="199"/>
      <c r="GUS206" s="199"/>
      <c r="GUT206" s="199"/>
      <c r="GUU206" s="199"/>
      <c r="GUV206" s="199"/>
      <c r="GUW206" s="199"/>
      <c r="GUX206" s="199"/>
      <c r="GUY206" s="199"/>
      <c r="GUZ206" s="199"/>
      <c r="GVA206" s="199"/>
      <c r="GVB206" s="199"/>
      <c r="GVC206" s="199"/>
      <c r="GVD206" s="199"/>
      <c r="GVE206" s="199"/>
      <c r="GVF206" s="199"/>
      <c r="GVG206" s="199"/>
      <c r="GVH206" s="199"/>
      <c r="GVI206" s="199"/>
      <c r="GVJ206" s="199"/>
      <c r="GVK206" s="199"/>
      <c r="GVL206" s="199"/>
      <c r="GVM206" s="199"/>
      <c r="GVN206" s="199"/>
      <c r="GVO206" s="199"/>
      <c r="GVP206" s="199"/>
      <c r="GVQ206" s="199"/>
      <c r="GVR206" s="199"/>
      <c r="GVS206" s="199"/>
      <c r="GVT206" s="199"/>
      <c r="GVU206" s="199"/>
      <c r="GVV206" s="199"/>
      <c r="GVW206" s="199"/>
      <c r="GVX206" s="199"/>
      <c r="GVY206" s="199"/>
      <c r="GVZ206" s="199"/>
      <c r="GWA206" s="199"/>
      <c r="GWB206" s="199"/>
      <c r="GWC206" s="199"/>
      <c r="GWD206" s="199"/>
      <c r="GWE206" s="199"/>
      <c r="GWF206" s="199"/>
      <c r="GWG206" s="199"/>
      <c r="GWH206" s="199"/>
      <c r="GWI206" s="199"/>
      <c r="GWJ206" s="199"/>
      <c r="GWK206" s="199"/>
      <c r="GWL206" s="199"/>
      <c r="GWM206" s="199"/>
      <c r="GWN206" s="199"/>
      <c r="GWO206" s="199"/>
      <c r="GWP206" s="199"/>
      <c r="GWQ206" s="199"/>
      <c r="GWR206" s="199"/>
      <c r="GWS206" s="199"/>
      <c r="GWT206" s="199"/>
      <c r="GWU206" s="199"/>
      <c r="GWV206" s="199"/>
      <c r="GWW206" s="199"/>
      <c r="GWX206" s="199"/>
      <c r="GWY206" s="199"/>
      <c r="GWZ206" s="199"/>
      <c r="GXA206" s="199"/>
      <c r="GXB206" s="199"/>
      <c r="GXC206" s="199"/>
      <c r="GXD206" s="199"/>
      <c r="GXE206" s="199"/>
      <c r="GXF206" s="199"/>
      <c r="GXG206" s="199"/>
      <c r="GXH206" s="199"/>
      <c r="GXI206" s="199"/>
      <c r="GXJ206" s="199"/>
      <c r="GXK206" s="199"/>
      <c r="GXL206" s="199"/>
      <c r="GXM206" s="199"/>
      <c r="GXN206" s="199"/>
      <c r="GXO206" s="199"/>
      <c r="GXP206" s="199"/>
      <c r="GXQ206" s="199"/>
      <c r="GXR206" s="199"/>
      <c r="GXS206" s="199"/>
      <c r="GXT206" s="199"/>
      <c r="GXU206" s="199"/>
      <c r="GXV206" s="199"/>
      <c r="GXW206" s="199"/>
      <c r="GXX206" s="199"/>
      <c r="GXY206" s="199"/>
      <c r="GXZ206" s="199"/>
      <c r="GYA206" s="199"/>
      <c r="GYB206" s="199"/>
      <c r="GYC206" s="199"/>
      <c r="GYD206" s="199"/>
      <c r="GYE206" s="199"/>
      <c r="GYF206" s="199"/>
      <c r="GYG206" s="199"/>
      <c r="GYH206" s="199"/>
      <c r="GYI206" s="199"/>
      <c r="GYJ206" s="199"/>
      <c r="GYK206" s="199"/>
      <c r="GYL206" s="199"/>
      <c r="GYM206" s="199"/>
      <c r="GYN206" s="199"/>
      <c r="GYO206" s="199"/>
      <c r="GYP206" s="199"/>
      <c r="GYQ206" s="199"/>
      <c r="GYR206" s="199"/>
      <c r="GYS206" s="199"/>
      <c r="GYT206" s="199"/>
      <c r="GYU206" s="199"/>
      <c r="GYV206" s="199"/>
      <c r="GYW206" s="199"/>
      <c r="GYX206" s="199"/>
      <c r="GYY206" s="199"/>
      <c r="GYZ206" s="199"/>
      <c r="GZA206" s="199"/>
      <c r="GZB206" s="199"/>
      <c r="GZC206" s="199"/>
      <c r="GZD206" s="199"/>
      <c r="GZE206" s="199"/>
      <c r="GZF206" s="199"/>
      <c r="GZG206" s="199"/>
      <c r="GZH206" s="199"/>
      <c r="GZI206" s="199"/>
      <c r="GZJ206" s="199"/>
      <c r="GZK206" s="199"/>
      <c r="GZL206" s="199"/>
      <c r="GZM206" s="199"/>
      <c r="GZN206" s="199"/>
      <c r="GZO206" s="199"/>
      <c r="GZP206" s="199"/>
      <c r="GZQ206" s="199"/>
      <c r="GZR206" s="199"/>
      <c r="GZS206" s="199"/>
      <c r="GZT206" s="199"/>
      <c r="GZU206" s="199"/>
      <c r="GZV206" s="199"/>
      <c r="GZW206" s="199"/>
      <c r="GZX206" s="199"/>
      <c r="GZY206" s="199"/>
      <c r="GZZ206" s="199"/>
      <c r="HAA206" s="199"/>
      <c r="HAB206" s="199"/>
      <c r="HAC206" s="199"/>
      <c r="HAD206" s="199"/>
      <c r="HAE206" s="199"/>
      <c r="HAF206" s="199"/>
      <c r="HAG206" s="199"/>
      <c r="HAH206" s="199"/>
      <c r="HAI206" s="199"/>
      <c r="HAJ206" s="199"/>
      <c r="HAK206" s="199"/>
      <c r="HAL206" s="199"/>
      <c r="HAM206" s="199"/>
      <c r="HAN206" s="199"/>
      <c r="HAO206" s="199"/>
      <c r="HAP206" s="199"/>
      <c r="HAQ206" s="199"/>
      <c r="HAR206" s="199"/>
      <c r="HAS206" s="199"/>
      <c r="HAT206" s="199"/>
      <c r="HAU206" s="199"/>
      <c r="HAV206" s="199"/>
      <c r="HAW206" s="199"/>
      <c r="HAX206" s="199"/>
      <c r="HAY206" s="199"/>
      <c r="HAZ206" s="199"/>
      <c r="HBA206" s="199"/>
      <c r="HBB206" s="199"/>
      <c r="HBC206" s="199"/>
      <c r="HBD206" s="199"/>
      <c r="HBE206" s="199"/>
      <c r="HBF206" s="199"/>
      <c r="HBG206" s="199"/>
      <c r="HBH206" s="199"/>
      <c r="HBI206" s="199"/>
      <c r="HBJ206" s="199"/>
      <c r="HBK206" s="199"/>
      <c r="HBL206" s="199"/>
      <c r="HBM206" s="199"/>
      <c r="HBN206" s="199"/>
      <c r="HBO206" s="199"/>
      <c r="HBP206" s="199"/>
      <c r="HBQ206" s="199"/>
      <c r="HBR206" s="199"/>
      <c r="HBS206" s="199"/>
      <c r="HBT206" s="199"/>
      <c r="HBU206" s="199"/>
      <c r="HBV206" s="199"/>
      <c r="HBW206" s="199"/>
      <c r="HBX206" s="199"/>
      <c r="HBY206" s="199"/>
      <c r="HBZ206" s="199"/>
      <c r="HCA206" s="199"/>
      <c r="HCB206" s="199"/>
      <c r="HCC206" s="199"/>
      <c r="HCD206" s="199"/>
      <c r="HCE206" s="199"/>
      <c r="HCF206" s="199"/>
      <c r="HCG206" s="199"/>
      <c r="HCH206" s="199"/>
      <c r="HCI206" s="199"/>
      <c r="HCJ206" s="199"/>
      <c r="HCK206" s="199"/>
      <c r="HCL206" s="199"/>
      <c r="HCM206" s="199"/>
      <c r="HCN206" s="199"/>
      <c r="HCO206" s="199"/>
      <c r="HCP206" s="199"/>
      <c r="HCQ206" s="199"/>
      <c r="HCR206" s="199"/>
      <c r="HCS206" s="199"/>
      <c r="HCT206" s="199"/>
      <c r="HCU206" s="199"/>
      <c r="HCV206" s="199"/>
      <c r="HCW206" s="199"/>
      <c r="HCX206" s="199"/>
      <c r="HCY206" s="199"/>
      <c r="HCZ206" s="199"/>
      <c r="HDA206" s="199"/>
      <c r="HDB206" s="199"/>
      <c r="HDC206" s="199"/>
      <c r="HDD206" s="199"/>
      <c r="HDE206" s="199"/>
      <c r="HDF206" s="199"/>
      <c r="HDG206" s="199"/>
      <c r="HDH206" s="199"/>
      <c r="HDI206" s="199"/>
      <c r="HDJ206" s="199"/>
      <c r="HDK206" s="199"/>
      <c r="HDL206" s="199"/>
      <c r="HDM206" s="199"/>
      <c r="HDN206" s="199"/>
      <c r="HDO206" s="199"/>
      <c r="HDP206" s="199"/>
      <c r="HDQ206" s="199"/>
      <c r="HDR206" s="199"/>
      <c r="HDS206" s="199"/>
      <c r="HDT206" s="199"/>
      <c r="HDU206" s="199"/>
      <c r="HDV206" s="199"/>
      <c r="HDW206" s="199"/>
      <c r="HDX206" s="199"/>
      <c r="HDY206" s="199"/>
      <c r="HDZ206" s="199"/>
      <c r="HEA206" s="199"/>
      <c r="HEB206" s="199"/>
      <c r="HEC206" s="199"/>
      <c r="HED206" s="199"/>
      <c r="HEE206" s="199"/>
      <c r="HEF206" s="199"/>
      <c r="HEG206" s="199"/>
      <c r="HEH206" s="199"/>
      <c r="HEI206" s="199"/>
      <c r="HEJ206" s="199"/>
      <c r="HEK206" s="199"/>
      <c r="HEL206" s="199"/>
      <c r="HEM206" s="199"/>
      <c r="HEN206" s="199"/>
      <c r="HEO206" s="199"/>
      <c r="HEP206" s="199"/>
      <c r="HEQ206" s="199"/>
      <c r="HER206" s="199"/>
      <c r="HES206" s="199"/>
      <c r="HET206" s="199"/>
      <c r="HEU206" s="199"/>
      <c r="HEV206" s="199"/>
      <c r="HEW206" s="199"/>
      <c r="HEX206" s="199"/>
      <c r="HEY206" s="199"/>
      <c r="HEZ206" s="199"/>
      <c r="HFA206" s="199"/>
      <c r="HFB206" s="199"/>
      <c r="HFC206" s="199"/>
      <c r="HFD206" s="199"/>
      <c r="HFE206" s="199"/>
      <c r="HFF206" s="199"/>
      <c r="HFG206" s="199"/>
      <c r="HFH206" s="199"/>
      <c r="HFI206" s="199"/>
      <c r="HFJ206" s="199"/>
      <c r="HFK206" s="199"/>
      <c r="HFL206" s="199"/>
      <c r="HFM206" s="199"/>
      <c r="HFN206" s="199"/>
      <c r="HFO206" s="199"/>
      <c r="HFP206" s="199"/>
      <c r="HFQ206" s="199"/>
      <c r="HFR206" s="199"/>
      <c r="HFS206" s="199"/>
      <c r="HFT206" s="199"/>
      <c r="HFU206" s="199"/>
      <c r="HFV206" s="199"/>
      <c r="HFW206" s="199"/>
      <c r="HFX206" s="199"/>
      <c r="HFY206" s="199"/>
      <c r="HFZ206" s="199"/>
      <c r="HGA206" s="199"/>
      <c r="HGB206" s="199"/>
      <c r="HGC206" s="199"/>
      <c r="HGD206" s="199"/>
      <c r="HGE206" s="199"/>
      <c r="HGF206" s="199"/>
      <c r="HGG206" s="199"/>
      <c r="HGH206" s="199"/>
      <c r="HGI206" s="199"/>
      <c r="HGJ206" s="199"/>
      <c r="HGK206" s="199"/>
      <c r="HGL206" s="199"/>
      <c r="HGM206" s="199"/>
      <c r="HGN206" s="199"/>
      <c r="HGO206" s="199"/>
      <c r="HGP206" s="199"/>
      <c r="HGQ206" s="199"/>
      <c r="HGR206" s="199"/>
      <c r="HGS206" s="199"/>
      <c r="HGT206" s="199"/>
      <c r="HGU206" s="199"/>
      <c r="HGV206" s="199"/>
      <c r="HGW206" s="199"/>
      <c r="HGX206" s="199"/>
      <c r="HGY206" s="199"/>
      <c r="HGZ206" s="199"/>
      <c r="HHA206" s="199"/>
      <c r="HHB206" s="199"/>
      <c r="HHC206" s="199"/>
      <c r="HHD206" s="199"/>
      <c r="HHE206" s="199"/>
      <c r="HHF206" s="199"/>
      <c r="HHG206" s="199"/>
      <c r="HHH206" s="199"/>
      <c r="HHI206" s="199"/>
      <c r="HHJ206" s="199"/>
      <c r="HHK206" s="199"/>
      <c r="HHL206" s="199"/>
      <c r="HHM206" s="199"/>
      <c r="HHN206" s="199"/>
      <c r="HHO206" s="199"/>
      <c r="HHP206" s="199"/>
      <c r="HHQ206" s="199"/>
      <c r="HHR206" s="199"/>
      <c r="HHS206" s="199"/>
      <c r="HHT206" s="199"/>
      <c r="HHU206" s="199"/>
      <c r="HHV206" s="199"/>
      <c r="HHW206" s="199"/>
      <c r="HHX206" s="199"/>
      <c r="HHY206" s="199"/>
      <c r="HHZ206" s="199"/>
      <c r="HIA206" s="199"/>
      <c r="HIB206" s="199"/>
      <c r="HIC206" s="199"/>
      <c r="HID206" s="199"/>
      <c r="HIE206" s="199"/>
      <c r="HIF206" s="199"/>
      <c r="HIG206" s="199"/>
      <c r="HIH206" s="199"/>
      <c r="HII206" s="199"/>
      <c r="HIJ206" s="199"/>
      <c r="HIK206" s="199"/>
      <c r="HIL206" s="199"/>
      <c r="HIM206" s="199"/>
      <c r="HIN206" s="199"/>
      <c r="HIO206" s="199"/>
      <c r="HIP206" s="199"/>
      <c r="HIQ206" s="199"/>
      <c r="HIR206" s="199"/>
      <c r="HIS206" s="199"/>
      <c r="HIT206" s="199"/>
      <c r="HIU206" s="199"/>
      <c r="HIV206" s="199"/>
      <c r="HIW206" s="199"/>
      <c r="HIX206" s="199"/>
      <c r="HIY206" s="199"/>
      <c r="HIZ206" s="199"/>
      <c r="HJA206" s="199"/>
      <c r="HJB206" s="199"/>
      <c r="HJC206" s="199"/>
      <c r="HJD206" s="199"/>
      <c r="HJE206" s="199"/>
      <c r="HJF206" s="199"/>
      <c r="HJG206" s="199"/>
      <c r="HJH206" s="199"/>
      <c r="HJI206" s="199"/>
      <c r="HJJ206" s="199"/>
      <c r="HJK206" s="199"/>
      <c r="HJL206" s="199"/>
      <c r="HJM206" s="199"/>
      <c r="HJN206" s="199"/>
      <c r="HJO206" s="199"/>
      <c r="HJP206" s="199"/>
      <c r="HJQ206" s="199"/>
      <c r="HJR206" s="199"/>
      <c r="HJS206" s="199"/>
      <c r="HJT206" s="199"/>
      <c r="HJU206" s="199"/>
      <c r="HJV206" s="199"/>
      <c r="HJW206" s="199"/>
      <c r="HJX206" s="199"/>
      <c r="HJY206" s="199"/>
      <c r="HJZ206" s="199"/>
      <c r="HKA206" s="199"/>
      <c r="HKB206" s="199"/>
      <c r="HKC206" s="199"/>
      <c r="HKD206" s="199"/>
      <c r="HKE206" s="199"/>
      <c r="HKF206" s="199"/>
      <c r="HKG206" s="199"/>
      <c r="HKH206" s="199"/>
      <c r="HKI206" s="199"/>
      <c r="HKJ206" s="199"/>
      <c r="HKK206" s="199"/>
      <c r="HKL206" s="199"/>
      <c r="HKM206" s="199"/>
      <c r="HKN206" s="199"/>
      <c r="HKO206" s="199"/>
      <c r="HKP206" s="199"/>
      <c r="HKQ206" s="199"/>
      <c r="HKR206" s="199"/>
      <c r="HKS206" s="199"/>
      <c r="HKT206" s="199"/>
      <c r="HKU206" s="199"/>
      <c r="HKV206" s="199"/>
      <c r="HKW206" s="199"/>
      <c r="HKX206" s="199"/>
      <c r="HKY206" s="199"/>
      <c r="HKZ206" s="199"/>
      <c r="HLA206" s="199"/>
      <c r="HLB206" s="199"/>
      <c r="HLC206" s="199"/>
      <c r="HLD206" s="199"/>
      <c r="HLE206" s="199"/>
      <c r="HLF206" s="199"/>
      <c r="HLG206" s="199"/>
      <c r="HLH206" s="199"/>
      <c r="HLI206" s="199"/>
      <c r="HLJ206" s="199"/>
      <c r="HLK206" s="199"/>
      <c r="HLL206" s="199"/>
      <c r="HLM206" s="199"/>
      <c r="HLN206" s="199"/>
      <c r="HLO206" s="199"/>
      <c r="HLP206" s="199"/>
      <c r="HLQ206" s="199"/>
      <c r="HLR206" s="199"/>
      <c r="HLS206" s="199"/>
      <c r="HLT206" s="199"/>
      <c r="HLU206" s="199"/>
      <c r="HLV206" s="199"/>
      <c r="HLW206" s="199"/>
      <c r="HLX206" s="199"/>
      <c r="HLY206" s="199"/>
      <c r="HLZ206" s="199"/>
      <c r="HMA206" s="199"/>
      <c r="HMB206" s="199"/>
      <c r="HMC206" s="199"/>
      <c r="HMD206" s="199"/>
      <c r="HME206" s="199"/>
      <c r="HMF206" s="199"/>
      <c r="HMG206" s="199"/>
      <c r="HMH206" s="199"/>
      <c r="HMI206" s="199"/>
      <c r="HMJ206" s="199"/>
      <c r="HMK206" s="199"/>
      <c r="HML206" s="199"/>
      <c r="HMM206" s="199"/>
      <c r="HMN206" s="199"/>
      <c r="HMO206" s="199"/>
      <c r="HMP206" s="199"/>
      <c r="HMQ206" s="199"/>
      <c r="HMR206" s="199"/>
      <c r="HMS206" s="199"/>
      <c r="HMT206" s="199"/>
      <c r="HMU206" s="199"/>
      <c r="HMV206" s="199"/>
      <c r="HMW206" s="199"/>
      <c r="HMX206" s="199"/>
      <c r="HMY206" s="199"/>
      <c r="HMZ206" s="199"/>
      <c r="HNA206" s="199"/>
      <c r="HNB206" s="199"/>
      <c r="HNC206" s="199"/>
      <c r="HND206" s="199"/>
      <c r="HNE206" s="199"/>
      <c r="HNF206" s="199"/>
      <c r="HNG206" s="199"/>
      <c r="HNH206" s="199"/>
      <c r="HNI206" s="199"/>
      <c r="HNJ206" s="199"/>
      <c r="HNK206" s="199"/>
      <c r="HNL206" s="199"/>
      <c r="HNM206" s="199"/>
      <c r="HNN206" s="199"/>
      <c r="HNO206" s="199"/>
      <c r="HNP206" s="199"/>
      <c r="HNQ206" s="199"/>
      <c r="HNR206" s="199"/>
      <c r="HNS206" s="199"/>
      <c r="HNT206" s="199"/>
      <c r="HNU206" s="199"/>
      <c r="HNV206" s="199"/>
      <c r="HNW206" s="199"/>
      <c r="HNX206" s="199"/>
      <c r="HNY206" s="199"/>
      <c r="HNZ206" s="199"/>
      <c r="HOA206" s="199"/>
      <c r="HOB206" s="199"/>
      <c r="HOC206" s="199"/>
      <c r="HOD206" s="199"/>
      <c r="HOE206" s="199"/>
      <c r="HOF206" s="199"/>
      <c r="HOG206" s="199"/>
      <c r="HOH206" s="199"/>
      <c r="HOI206" s="199"/>
      <c r="HOJ206" s="199"/>
      <c r="HOK206" s="199"/>
      <c r="HOL206" s="199"/>
      <c r="HOM206" s="199"/>
      <c r="HON206" s="199"/>
      <c r="HOO206" s="199"/>
      <c r="HOP206" s="199"/>
      <c r="HOQ206" s="199"/>
      <c r="HOR206" s="199"/>
      <c r="HOS206" s="199"/>
      <c r="HOT206" s="199"/>
      <c r="HOU206" s="199"/>
      <c r="HOV206" s="199"/>
      <c r="HOW206" s="199"/>
      <c r="HOX206" s="199"/>
      <c r="HOY206" s="199"/>
      <c r="HOZ206" s="199"/>
      <c r="HPA206" s="199"/>
      <c r="HPB206" s="199"/>
      <c r="HPC206" s="199"/>
      <c r="HPD206" s="199"/>
      <c r="HPE206" s="199"/>
      <c r="HPF206" s="199"/>
      <c r="HPG206" s="199"/>
      <c r="HPH206" s="199"/>
      <c r="HPI206" s="199"/>
      <c r="HPJ206" s="199"/>
      <c r="HPK206" s="199"/>
      <c r="HPL206" s="199"/>
      <c r="HPM206" s="199"/>
      <c r="HPN206" s="199"/>
      <c r="HPO206" s="199"/>
      <c r="HPP206" s="199"/>
      <c r="HPQ206" s="199"/>
      <c r="HPR206" s="199"/>
      <c r="HPS206" s="199"/>
      <c r="HPT206" s="199"/>
      <c r="HPU206" s="199"/>
      <c r="HPV206" s="199"/>
      <c r="HPW206" s="199"/>
      <c r="HPX206" s="199"/>
      <c r="HPY206" s="199"/>
      <c r="HPZ206" s="199"/>
      <c r="HQA206" s="199"/>
      <c r="HQB206" s="199"/>
      <c r="HQC206" s="199"/>
      <c r="HQD206" s="199"/>
      <c r="HQE206" s="199"/>
      <c r="HQF206" s="199"/>
      <c r="HQG206" s="199"/>
      <c r="HQH206" s="199"/>
      <c r="HQI206" s="199"/>
      <c r="HQJ206" s="199"/>
      <c r="HQK206" s="199"/>
      <c r="HQL206" s="199"/>
      <c r="HQM206" s="199"/>
      <c r="HQN206" s="199"/>
      <c r="HQO206" s="199"/>
      <c r="HQP206" s="199"/>
      <c r="HQQ206" s="199"/>
      <c r="HQR206" s="199"/>
      <c r="HQS206" s="199"/>
      <c r="HQT206" s="199"/>
      <c r="HQU206" s="199"/>
      <c r="HQV206" s="199"/>
      <c r="HQW206" s="199"/>
      <c r="HQX206" s="199"/>
      <c r="HQY206" s="199"/>
      <c r="HQZ206" s="199"/>
      <c r="HRA206" s="199"/>
      <c r="HRB206" s="199"/>
      <c r="HRC206" s="199"/>
      <c r="HRD206" s="199"/>
      <c r="HRE206" s="199"/>
      <c r="HRF206" s="199"/>
      <c r="HRG206" s="199"/>
      <c r="HRH206" s="199"/>
      <c r="HRI206" s="199"/>
      <c r="HRJ206" s="199"/>
      <c r="HRK206" s="199"/>
      <c r="HRL206" s="199"/>
      <c r="HRM206" s="199"/>
      <c r="HRN206" s="199"/>
      <c r="HRO206" s="199"/>
      <c r="HRP206" s="199"/>
      <c r="HRQ206" s="199"/>
      <c r="HRR206" s="199"/>
      <c r="HRS206" s="199"/>
      <c r="HRT206" s="199"/>
      <c r="HRU206" s="199"/>
      <c r="HRV206" s="199"/>
      <c r="HRW206" s="199"/>
      <c r="HRX206" s="199"/>
      <c r="HRY206" s="199"/>
      <c r="HRZ206" s="199"/>
      <c r="HSA206" s="199"/>
      <c r="HSB206" s="199"/>
      <c r="HSC206" s="199"/>
      <c r="HSD206" s="199"/>
      <c r="HSE206" s="199"/>
      <c r="HSF206" s="199"/>
      <c r="HSG206" s="199"/>
      <c r="HSH206" s="199"/>
      <c r="HSI206" s="199"/>
      <c r="HSJ206" s="199"/>
      <c r="HSK206" s="199"/>
      <c r="HSL206" s="199"/>
      <c r="HSM206" s="199"/>
      <c r="HSN206" s="199"/>
      <c r="HSO206" s="199"/>
      <c r="HSP206" s="199"/>
      <c r="HSQ206" s="199"/>
      <c r="HSR206" s="199"/>
      <c r="HSS206" s="199"/>
      <c r="HST206" s="199"/>
      <c r="HSU206" s="199"/>
      <c r="HSV206" s="199"/>
      <c r="HSW206" s="199"/>
      <c r="HSX206" s="199"/>
      <c r="HSY206" s="199"/>
      <c r="HSZ206" s="199"/>
      <c r="HTA206" s="199"/>
      <c r="HTB206" s="199"/>
      <c r="HTC206" s="199"/>
      <c r="HTD206" s="199"/>
      <c r="HTE206" s="199"/>
      <c r="HTF206" s="199"/>
      <c r="HTG206" s="199"/>
      <c r="HTH206" s="199"/>
      <c r="HTI206" s="199"/>
      <c r="HTJ206" s="199"/>
      <c r="HTK206" s="199"/>
      <c r="HTL206" s="199"/>
      <c r="HTM206" s="199"/>
      <c r="HTN206" s="199"/>
      <c r="HTO206" s="199"/>
      <c r="HTP206" s="199"/>
      <c r="HTQ206" s="199"/>
      <c r="HTR206" s="199"/>
      <c r="HTS206" s="199"/>
      <c r="HTT206" s="199"/>
      <c r="HTU206" s="199"/>
      <c r="HTV206" s="199"/>
      <c r="HTW206" s="199"/>
      <c r="HTX206" s="199"/>
      <c r="HTY206" s="199"/>
      <c r="HTZ206" s="199"/>
      <c r="HUA206" s="199"/>
      <c r="HUB206" s="199"/>
      <c r="HUC206" s="199"/>
      <c r="HUD206" s="199"/>
      <c r="HUE206" s="199"/>
      <c r="HUF206" s="199"/>
      <c r="HUG206" s="199"/>
      <c r="HUH206" s="199"/>
      <c r="HUI206" s="199"/>
      <c r="HUJ206" s="199"/>
      <c r="HUK206" s="199"/>
      <c r="HUL206" s="199"/>
      <c r="HUM206" s="199"/>
      <c r="HUN206" s="199"/>
      <c r="HUO206" s="199"/>
      <c r="HUP206" s="199"/>
      <c r="HUQ206" s="199"/>
      <c r="HUR206" s="199"/>
      <c r="HUS206" s="199"/>
      <c r="HUT206" s="199"/>
      <c r="HUU206" s="199"/>
      <c r="HUV206" s="199"/>
      <c r="HUW206" s="199"/>
      <c r="HUX206" s="199"/>
      <c r="HUY206" s="199"/>
      <c r="HUZ206" s="199"/>
      <c r="HVA206" s="199"/>
      <c r="HVB206" s="199"/>
      <c r="HVC206" s="199"/>
      <c r="HVD206" s="199"/>
      <c r="HVE206" s="199"/>
      <c r="HVF206" s="199"/>
      <c r="HVG206" s="199"/>
      <c r="HVH206" s="199"/>
      <c r="HVI206" s="199"/>
      <c r="HVJ206" s="199"/>
      <c r="HVK206" s="199"/>
      <c r="HVL206" s="199"/>
      <c r="HVM206" s="199"/>
      <c r="HVN206" s="199"/>
      <c r="HVO206" s="199"/>
      <c r="HVP206" s="199"/>
      <c r="HVQ206" s="199"/>
      <c r="HVR206" s="199"/>
      <c r="HVS206" s="199"/>
      <c r="HVT206" s="199"/>
      <c r="HVU206" s="199"/>
      <c r="HVV206" s="199"/>
      <c r="HVW206" s="199"/>
      <c r="HVX206" s="199"/>
      <c r="HVY206" s="199"/>
      <c r="HVZ206" s="199"/>
      <c r="HWA206" s="199"/>
      <c r="HWB206" s="199"/>
      <c r="HWC206" s="199"/>
      <c r="HWD206" s="199"/>
      <c r="HWE206" s="199"/>
      <c r="HWF206" s="199"/>
      <c r="HWG206" s="199"/>
      <c r="HWH206" s="199"/>
      <c r="HWI206" s="199"/>
      <c r="HWJ206" s="199"/>
      <c r="HWK206" s="199"/>
      <c r="HWL206" s="199"/>
      <c r="HWM206" s="199"/>
      <c r="HWN206" s="199"/>
      <c r="HWO206" s="199"/>
      <c r="HWP206" s="199"/>
      <c r="HWQ206" s="199"/>
      <c r="HWR206" s="199"/>
      <c r="HWS206" s="199"/>
      <c r="HWT206" s="199"/>
      <c r="HWU206" s="199"/>
      <c r="HWV206" s="199"/>
      <c r="HWW206" s="199"/>
      <c r="HWX206" s="199"/>
      <c r="HWY206" s="199"/>
      <c r="HWZ206" s="199"/>
      <c r="HXA206" s="199"/>
      <c r="HXB206" s="199"/>
      <c r="HXC206" s="199"/>
      <c r="HXD206" s="199"/>
      <c r="HXE206" s="199"/>
      <c r="HXF206" s="199"/>
      <c r="HXG206" s="199"/>
      <c r="HXH206" s="199"/>
      <c r="HXI206" s="199"/>
      <c r="HXJ206" s="199"/>
      <c r="HXK206" s="199"/>
      <c r="HXL206" s="199"/>
      <c r="HXM206" s="199"/>
      <c r="HXN206" s="199"/>
      <c r="HXO206" s="199"/>
      <c r="HXP206" s="199"/>
      <c r="HXQ206" s="199"/>
      <c r="HXR206" s="199"/>
      <c r="HXS206" s="199"/>
      <c r="HXT206" s="199"/>
      <c r="HXU206" s="199"/>
      <c r="HXV206" s="199"/>
      <c r="HXW206" s="199"/>
      <c r="HXX206" s="199"/>
      <c r="HXY206" s="199"/>
      <c r="HXZ206" s="199"/>
      <c r="HYA206" s="199"/>
      <c r="HYB206" s="199"/>
      <c r="HYC206" s="199"/>
      <c r="HYD206" s="199"/>
      <c r="HYE206" s="199"/>
      <c r="HYF206" s="199"/>
      <c r="HYG206" s="199"/>
      <c r="HYH206" s="199"/>
      <c r="HYI206" s="199"/>
      <c r="HYJ206" s="199"/>
      <c r="HYK206" s="199"/>
      <c r="HYL206" s="199"/>
      <c r="HYM206" s="199"/>
      <c r="HYN206" s="199"/>
      <c r="HYO206" s="199"/>
      <c r="HYP206" s="199"/>
      <c r="HYQ206" s="199"/>
      <c r="HYR206" s="199"/>
      <c r="HYS206" s="199"/>
      <c r="HYT206" s="199"/>
      <c r="HYU206" s="199"/>
      <c r="HYV206" s="199"/>
      <c r="HYW206" s="199"/>
      <c r="HYX206" s="199"/>
      <c r="HYY206" s="199"/>
      <c r="HYZ206" s="199"/>
      <c r="HZA206" s="199"/>
      <c r="HZB206" s="199"/>
      <c r="HZC206" s="199"/>
      <c r="HZD206" s="199"/>
      <c r="HZE206" s="199"/>
      <c r="HZF206" s="199"/>
      <c r="HZG206" s="199"/>
      <c r="HZH206" s="199"/>
      <c r="HZI206" s="199"/>
      <c r="HZJ206" s="199"/>
      <c r="HZK206" s="199"/>
      <c r="HZL206" s="199"/>
      <c r="HZM206" s="199"/>
      <c r="HZN206" s="199"/>
      <c r="HZO206" s="199"/>
      <c r="HZP206" s="199"/>
      <c r="HZQ206" s="199"/>
      <c r="HZR206" s="199"/>
      <c r="HZS206" s="199"/>
      <c r="HZT206" s="199"/>
      <c r="HZU206" s="199"/>
      <c r="HZV206" s="199"/>
      <c r="HZW206" s="199"/>
      <c r="HZX206" s="199"/>
      <c r="HZY206" s="199"/>
      <c r="HZZ206" s="199"/>
      <c r="IAA206" s="199"/>
      <c r="IAB206" s="199"/>
      <c r="IAC206" s="199"/>
      <c r="IAD206" s="199"/>
      <c r="IAE206" s="199"/>
      <c r="IAF206" s="199"/>
      <c r="IAG206" s="199"/>
      <c r="IAH206" s="199"/>
      <c r="IAI206" s="199"/>
      <c r="IAJ206" s="199"/>
      <c r="IAK206" s="199"/>
      <c r="IAL206" s="199"/>
      <c r="IAM206" s="199"/>
      <c r="IAN206" s="199"/>
      <c r="IAO206" s="199"/>
      <c r="IAP206" s="199"/>
      <c r="IAQ206" s="199"/>
      <c r="IAR206" s="199"/>
      <c r="IAS206" s="199"/>
      <c r="IAT206" s="199"/>
      <c r="IAU206" s="199"/>
      <c r="IAV206" s="199"/>
      <c r="IAW206" s="199"/>
      <c r="IAX206" s="199"/>
      <c r="IAY206" s="199"/>
      <c r="IAZ206" s="199"/>
      <c r="IBA206" s="199"/>
      <c r="IBB206" s="199"/>
      <c r="IBC206" s="199"/>
      <c r="IBD206" s="199"/>
      <c r="IBE206" s="199"/>
      <c r="IBF206" s="199"/>
      <c r="IBG206" s="199"/>
      <c r="IBH206" s="199"/>
      <c r="IBI206" s="199"/>
      <c r="IBJ206" s="199"/>
      <c r="IBK206" s="199"/>
      <c r="IBL206" s="199"/>
      <c r="IBM206" s="199"/>
      <c r="IBN206" s="199"/>
      <c r="IBO206" s="199"/>
      <c r="IBP206" s="199"/>
      <c r="IBQ206" s="199"/>
      <c r="IBR206" s="199"/>
      <c r="IBS206" s="199"/>
      <c r="IBT206" s="199"/>
      <c r="IBU206" s="199"/>
      <c r="IBV206" s="199"/>
      <c r="IBW206" s="199"/>
      <c r="IBX206" s="199"/>
      <c r="IBY206" s="199"/>
      <c r="IBZ206" s="199"/>
      <c r="ICA206" s="199"/>
      <c r="ICB206" s="199"/>
      <c r="ICC206" s="199"/>
      <c r="ICD206" s="199"/>
      <c r="ICE206" s="199"/>
      <c r="ICF206" s="199"/>
      <c r="ICG206" s="199"/>
      <c r="ICH206" s="199"/>
      <c r="ICI206" s="199"/>
      <c r="ICJ206" s="199"/>
      <c r="ICK206" s="199"/>
      <c r="ICL206" s="199"/>
      <c r="ICM206" s="199"/>
      <c r="ICN206" s="199"/>
      <c r="ICO206" s="199"/>
      <c r="ICP206" s="199"/>
      <c r="ICQ206" s="199"/>
      <c r="ICR206" s="199"/>
      <c r="ICS206" s="199"/>
      <c r="ICT206" s="199"/>
      <c r="ICU206" s="199"/>
      <c r="ICV206" s="199"/>
      <c r="ICW206" s="199"/>
      <c r="ICX206" s="199"/>
      <c r="ICY206" s="199"/>
      <c r="ICZ206" s="199"/>
      <c r="IDA206" s="199"/>
      <c r="IDB206" s="199"/>
      <c r="IDC206" s="199"/>
      <c r="IDD206" s="199"/>
      <c r="IDE206" s="199"/>
      <c r="IDF206" s="199"/>
      <c r="IDG206" s="199"/>
      <c r="IDH206" s="199"/>
      <c r="IDI206" s="199"/>
      <c r="IDJ206" s="199"/>
      <c r="IDK206" s="199"/>
      <c r="IDL206" s="199"/>
      <c r="IDM206" s="199"/>
      <c r="IDN206" s="199"/>
      <c r="IDO206" s="199"/>
      <c r="IDP206" s="199"/>
      <c r="IDQ206" s="199"/>
      <c r="IDR206" s="199"/>
      <c r="IDS206" s="199"/>
      <c r="IDT206" s="199"/>
      <c r="IDU206" s="199"/>
      <c r="IDV206" s="199"/>
      <c r="IDW206" s="199"/>
      <c r="IDX206" s="199"/>
      <c r="IDY206" s="199"/>
      <c r="IDZ206" s="199"/>
      <c r="IEA206" s="199"/>
      <c r="IEB206" s="199"/>
      <c r="IEC206" s="199"/>
      <c r="IED206" s="199"/>
      <c r="IEE206" s="199"/>
      <c r="IEF206" s="199"/>
      <c r="IEG206" s="199"/>
      <c r="IEH206" s="199"/>
      <c r="IEI206" s="199"/>
      <c r="IEJ206" s="199"/>
      <c r="IEK206" s="199"/>
      <c r="IEL206" s="199"/>
      <c r="IEM206" s="199"/>
      <c r="IEN206" s="199"/>
      <c r="IEO206" s="199"/>
      <c r="IEP206" s="199"/>
      <c r="IEQ206" s="199"/>
      <c r="IER206" s="199"/>
      <c r="IES206" s="199"/>
      <c r="IET206" s="199"/>
      <c r="IEU206" s="199"/>
      <c r="IEV206" s="199"/>
      <c r="IEW206" s="199"/>
      <c r="IEX206" s="199"/>
      <c r="IEY206" s="199"/>
      <c r="IEZ206" s="199"/>
      <c r="IFA206" s="199"/>
      <c r="IFB206" s="199"/>
      <c r="IFC206" s="199"/>
      <c r="IFD206" s="199"/>
      <c r="IFE206" s="199"/>
      <c r="IFF206" s="199"/>
      <c r="IFG206" s="199"/>
      <c r="IFH206" s="199"/>
      <c r="IFI206" s="199"/>
      <c r="IFJ206" s="199"/>
      <c r="IFK206" s="199"/>
      <c r="IFL206" s="199"/>
      <c r="IFM206" s="199"/>
      <c r="IFN206" s="199"/>
      <c r="IFO206" s="199"/>
      <c r="IFP206" s="199"/>
      <c r="IFQ206" s="199"/>
      <c r="IFR206" s="199"/>
      <c r="IFS206" s="199"/>
      <c r="IFT206" s="199"/>
      <c r="IFU206" s="199"/>
      <c r="IFV206" s="199"/>
      <c r="IFW206" s="199"/>
      <c r="IFX206" s="199"/>
      <c r="IFY206" s="199"/>
      <c r="IFZ206" s="199"/>
      <c r="IGA206" s="199"/>
      <c r="IGB206" s="199"/>
      <c r="IGC206" s="199"/>
      <c r="IGD206" s="199"/>
      <c r="IGE206" s="199"/>
      <c r="IGF206" s="199"/>
      <c r="IGG206" s="199"/>
      <c r="IGH206" s="199"/>
      <c r="IGI206" s="199"/>
      <c r="IGJ206" s="199"/>
      <c r="IGK206" s="199"/>
      <c r="IGL206" s="199"/>
      <c r="IGM206" s="199"/>
      <c r="IGN206" s="199"/>
      <c r="IGO206" s="199"/>
      <c r="IGP206" s="199"/>
      <c r="IGQ206" s="199"/>
      <c r="IGR206" s="199"/>
      <c r="IGS206" s="199"/>
      <c r="IGT206" s="199"/>
      <c r="IGU206" s="199"/>
      <c r="IGV206" s="199"/>
      <c r="IGW206" s="199"/>
      <c r="IGX206" s="199"/>
      <c r="IGY206" s="199"/>
      <c r="IGZ206" s="199"/>
      <c r="IHA206" s="199"/>
      <c r="IHB206" s="199"/>
      <c r="IHC206" s="199"/>
      <c r="IHD206" s="199"/>
      <c r="IHE206" s="199"/>
      <c r="IHF206" s="199"/>
      <c r="IHG206" s="199"/>
      <c r="IHH206" s="199"/>
      <c r="IHI206" s="199"/>
      <c r="IHJ206" s="199"/>
      <c r="IHK206" s="199"/>
      <c r="IHL206" s="199"/>
      <c r="IHM206" s="199"/>
      <c r="IHN206" s="199"/>
      <c r="IHO206" s="199"/>
      <c r="IHP206" s="199"/>
      <c r="IHQ206" s="199"/>
      <c r="IHR206" s="199"/>
      <c r="IHS206" s="199"/>
      <c r="IHT206" s="199"/>
      <c r="IHU206" s="199"/>
      <c r="IHV206" s="199"/>
      <c r="IHW206" s="199"/>
      <c r="IHX206" s="199"/>
      <c r="IHY206" s="199"/>
      <c r="IHZ206" s="199"/>
      <c r="IIA206" s="199"/>
      <c r="IIB206" s="199"/>
      <c r="IIC206" s="199"/>
      <c r="IID206" s="199"/>
      <c r="IIE206" s="199"/>
      <c r="IIF206" s="199"/>
      <c r="IIG206" s="199"/>
      <c r="IIH206" s="199"/>
      <c r="III206" s="199"/>
      <c r="IIJ206" s="199"/>
      <c r="IIK206" s="199"/>
      <c r="IIL206" s="199"/>
      <c r="IIM206" s="199"/>
      <c r="IIN206" s="199"/>
      <c r="IIO206" s="199"/>
      <c r="IIP206" s="199"/>
      <c r="IIQ206" s="199"/>
      <c r="IIR206" s="199"/>
      <c r="IIS206" s="199"/>
      <c r="IIT206" s="199"/>
      <c r="IIU206" s="199"/>
      <c r="IIV206" s="199"/>
      <c r="IIW206" s="199"/>
      <c r="IIX206" s="199"/>
      <c r="IIY206" s="199"/>
      <c r="IIZ206" s="199"/>
      <c r="IJA206" s="199"/>
      <c r="IJB206" s="199"/>
      <c r="IJC206" s="199"/>
      <c r="IJD206" s="199"/>
      <c r="IJE206" s="199"/>
      <c r="IJF206" s="199"/>
      <c r="IJG206" s="199"/>
      <c r="IJH206" s="199"/>
      <c r="IJI206" s="199"/>
      <c r="IJJ206" s="199"/>
      <c r="IJK206" s="199"/>
      <c r="IJL206" s="199"/>
      <c r="IJM206" s="199"/>
      <c r="IJN206" s="199"/>
      <c r="IJO206" s="199"/>
      <c r="IJP206" s="199"/>
      <c r="IJQ206" s="199"/>
      <c r="IJR206" s="199"/>
      <c r="IJS206" s="199"/>
      <c r="IJT206" s="199"/>
      <c r="IJU206" s="199"/>
      <c r="IJV206" s="199"/>
      <c r="IJW206" s="199"/>
      <c r="IJX206" s="199"/>
      <c r="IJY206" s="199"/>
      <c r="IJZ206" s="199"/>
      <c r="IKA206" s="199"/>
      <c r="IKB206" s="199"/>
      <c r="IKC206" s="199"/>
      <c r="IKD206" s="199"/>
      <c r="IKE206" s="199"/>
      <c r="IKF206" s="199"/>
      <c r="IKG206" s="199"/>
      <c r="IKH206" s="199"/>
      <c r="IKI206" s="199"/>
      <c r="IKJ206" s="199"/>
      <c r="IKK206" s="199"/>
      <c r="IKL206" s="199"/>
      <c r="IKM206" s="199"/>
      <c r="IKN206" s="199"/>
      <c r="IKO206" s="199"/>
      <c r="IKP206" s="199"/>
      <c r="IKQ206" s="199"/>
      <c r="IKR206" s="199"/>
      <c r="IKS206" s="199"/>
      <c r="IKT206" s="199"/>
      <c r="IKU206" s="199"/>
      <c r="IKV206" s="199"/>
      <c r="IKW206" s="199"/>
      <c r="IKX206" s="199"/>
      <c r="IKY206" s="199"/>
      <c r="IKZ206" s="199"/>
      <c r="ILA206" s="199"/>
      <c r="ILB206" s="199"/>
      <c r="ILC206" s="199"/>
      <c r="ILD206" s="199"/>
      <c r="ILE206" s="199"/>
      <c r="ILF206" s="199"/>
      <c r="ILG206" s="199"/>
      <c r="ILH206" s="199"/>
      <c r="ILI206" s="199"/>
      <c r="ILJ206" s="199"/>
      <c r="ILK206" s="199"/>
      <c r="ILL206" s="199"/>
      <c r="ILM206" s="199"/>
      <c r="ILN206" s="199"/>
      <c r="ILO206" s="199"/>
      <c r="ILP206" s="199"/>
      <c r="ILQ206" s="199"/>
      <c r="ILR206" s="199"/>
      <c r="ILS206" s="199"/>
      <c r="ILT206" s="199"/>
      <c r="ILU206" s="199"/>
      <c r="ILV206" s="199"/>
      <c r="ILW206" s="199"/>
      <c r="ILX206" s="199"/>
      <c r="ILY206" s="199"/>
      <c r="ILZ206" s="199"/>
      <c r="IMA206" s="199"/>
      <c r="IMB206" s="199"/>
      <c r="IMC206" s="199"/>
      <c r="IMD206" s="199"/>
      <c r="IME206" s="199"/>
      <c r="IMF206" s="199"/>
      <c r="IMG206" s="199"/>
      <c r="IMH206" s="199"/>
      <c r="IMI206" s="199"/>
      <c r="IMJ206" s="199"/>
      <c r="IMK206" s="199"/>
      <c r="IML206" s="199"/>
      <c r="IMM206" s="199"/>
      <c r="IMN206" s="199"/>
      <c r="IMO206" s="199"/>
      <c r="IMP206" s="199"/>
      <c r="IMQ206" s="199"/>
      <c r="IMR206" s="199"/>
      <c r="IMS206" s="199"/>
      <c r="IMT206" s="199"/>
      <c r="IMU206" s="199"/>
      <c r="IMV206" s="199"/>
      <c r="IMW206" s="199"/>
      <c r="IMX206" s="199"/>
      <c r="IMY206" s="199"/>
      <c r="IMZ206" s="199"/>
      <c r="INA206" s="199"/>
      <c r="INB206" s="199"/>
      <c r="INC206" s="199"/>
      <c r="IND206" s="199"/>
      <c r="INE206" s="199"/>
      <c r="INF206" s="199"/>
      <c r="ING206" s="199"/>
      <c r="INH206" s="199"/>
      <c r="INI206" s="199"/>
      <c r="INJ206" s="199"/>
      <c r="INK206" s="199"/>
      <c r="INL206" s="199"/>
      <c r="INM206" s="199"/>
      <c r="INN206" s="199"/>
      <c r="INO206" s="199"/>
      <c r="INP206" s="199"/>
      <c r="INQ206" s="199"/>
      <c r="INR206" s="199"/>
      <c r="INS206" s="199"/>
      <c r="INT206" s="199"/>
      <c r="INU206" s="199"/>
      <c r="INV206" s="199"/>
      <c r="INW206" s="199"/>
      <c r="INX206" s="199"/>
      <c r="INY206" s="199"/>
      <c r="INZ206" s="199"/>
      <c r="IOA206" s="199"/>
      <c r="IOB206" s="199"/>
      <c r="IOC206" s="199"/>
      <c r="IOD206" s="199"/>
      <c r="IOE206" s="199"/>
      <c r="IOF206" s="199"/>
      <c r="IOG206" s="199"/>
      <c r="IOH206" s="199"/>
      <c r="IOI206" s="199"/>
      <c r="IOJ206" s="199"/>
      <c r="IOK206" s="199"/>
      <c r="IOL206" s="199"/>
      <c r="IOM206" s="199"/>
      <c r="ION206" s="199"/>
      <c r="IOO206" s="199"/>
      <c r="IOP206" s="199"/>
      <c r="IOQ206" s="199"/>
      <c r="IOR206" s="199"/>
      <c r="IOS206" s="199"/>
      <c r="IOT206" s="199"/>
      <c r="IOU206" s="199"/>
      <c r="IOV206" s="199"/>
      <c r="IOW206" s="199"/>
      <c r="IOX206" s="199"/>
      <c r="IOY206" s="199"/>
      <c r="IOZ206" s="199"/>
      <c r="IPA206" s="199"/>
      <c r="IPB206" s="199"/>
      <c r="IPC206" s="199"/>
      <c r="IPD206" s="199"/>
      <c r="IPE206" s="199"/>
      <c r="IPF206" s="199"/>
      <c r="IPG206" s="199"/>
      <c r="IPH206" s="199"/>
      <c r="IPI206" s="199"/>
      <c r="IPJ206" s="199"/>
      <c r="IPK206" s="199"/>
      <c r="IPL206" s="199"/>
      <c r="IPM206" s="199"/>
      <c r="IPN206" s="199"/>
      <c r="IPO206" s="199"/>
      <c r="IPP206" s="199"/>
      <c r="IPQ206" s="199"/>
      <c r="IPR206" s="199"/>
      <c r="IPS206" s="199"/>
      <c r="IPT206" s="199"/>
      <c r="IPU206" s="199"/>
      <c r="IPV206" s="199"/>
      <c r="IPW206" s="199"/>
      <c r="IPX206" s="199"/>
      <c r="IPY206" s="199"/>
      <c r="IPZ206" s="199"/>
      <c r="IQA206" s="199"/>
      <c r="IQB206" s="199"/>
      <c r="IQC206" s="199"/>
      <c r="IQD206" s="199"/>
      <c r="IQE206" s="199"/>
      <c r="IQF206" s="199"/>
      <c r="IQG206" s="199"/>
      <c r="IQH206" s="199"/>
      <c r="IQI206" s="199"/>
      <c r="IQJ206" s="199"/>
      <c r="IQK206" s="199"/>
      <c r="IQL206" s="199"/>
      <c r="IQM206" s="199"/>
      <c r="IQN206" s="199"/>
      <c r="IQO206" s="199"/>
      <c r="IQP206" s="199"/>
      <c r="IQQ206" s="199"/>
      <c r="IQR206" s="199"/>
      <c r="IQS206" s="199"/>
      <c r="IQT206" s="199"/>
      <c r="IQU206" s="199"/>
      <c r="IQV206" s="199"/>
      <c r="IQW206" s="199"/>
      <c r="IQX206" s="199"/>
      <c r="IQY206" s="199"/>
      <c r="IQZ206" s="199"/>
      <c r="IRA206" s="199"/>
      <c r="IRB206" s="199"/>
      <c r="IRC206" s="199"/>
      <c r="IRD206" s="199"/>
      <c r="IRE206" s="199"/>
      <c r="IRF206" s="199"/>
      <c r="IRG206" s="199"/>
      <c r="IRH206" s="199"/>
      <c r="IRI206" s="199"/>
      <c r="IRJ206" s="199"/>
      <c r="IRK206" s="199"/>
      <c r="IRL206" s="199"/>
      <c r="IRM206" s="199"/>
      <c r="IRN206" s="199"/>
      <c r="IRO206" s="199"/>
      <c r="IRP206" s="199"/>
      <c r="IRQ206" s="199"/>
      <c r="IRR206" s="199"/>
      <c r="IRS206" s="199"/>
      <c r="IRT206" s="199"/>
      <c r="IRU206" s="199"/>
      <c r="IRV206" s="199"/>
      <c r="IRW206" s="199"/>
      <c r="IRX206" s="199"/>
      <c r="IRY206" s="199"/>
      <c r="IRZ206" s="199"/>
      <c r="ISA206" s="199"/>
      <c r="ISB206" s="199"/>
      <c r="ISC206" s="199"/>
      <c r="ISD206" s="199"/>
      <c r="ISE206" s="199"/>
      <c r="ISF206" s="199"/>
      <c r="ISG206" s="199"/>
      <c r="ISH206" s="199"/>
      <c r="ISI206" s="199"/>
      <c r="ISJ206" s="199"/>
      <c r="ISK206" s="199"/>
      <c r="ISL206" s="199"/>
      <c r="ISM206" s="199"/>
      <c r="ISN206" s="199"/>
      <c r="ISO206" s="199"/>
      <c r="ISP206" s="199"/>
      <c r="ISQ206" s="199"/>
      <c r="ISR206" s="199"/>
      <c r="ISS206" s="199"/>
      <c r="IST206" s="199"/>
      <c r="ISU206" s="199"/>
      <c r="ISV206" s="199"/>
      <c r="ISW206" s="199"/>
      <c r="ISX206" s="199"/>
      <c r="ISY206" s="199"/>
      <c r="ISZ206" s="199"/>
      <c r="ITA206" s="199"/>
      <c r="ITB206" s="199"/>
      <c r="ITC206" s="199"/>
      <c r="ITD206" s="199"/>
      <c r="ITE206" s="199"/>
      <c r="ITF206" s="199"/>
      <c r="ITG206" s="199"/>
      <c r="ITH206" s="199"/>
      <c r="ITI206" s="199"/>
      <c r="ITJ206" s="199"/>
      <c r="ITK206" s="199"/>
      <c r="ITL206" s="199"/>
      <c r="ITM206" s="199"/>
      <c r="ITN206" s="199"/>
      <c r="ITO206" s="199"/>
      <c r="ITP206" s="199"/>
      <c r="ITQ206" s="199"/>
      <c r="ITR206" s="199"/>
      <c r="ITS206" s="199"/>
      <c r="ITT206" s="199"/>
      <c r="ITU206" s="199"/>
      <c r="ITV206" s="199"/>
      <c r="ITW206" s="199"/>
      <c r="ITX206" s="199"/>
      <c r="ITY206" s="199"/>
      <c r="ITZ206" s="199"/>
      <c r="IUA206" s="199"/>
      <c r="IUB206" s="199"/>
      <c r="IUC206" s="199"/>
      <c r="IUD206" s="199"/>
      <c r="IUE206" s="199"/>
      <c r="IUF206" s="199"/>
      <c r="IUG206" s="199"/>
      <c r="IUH206" s="199"/>
      <c r="IUI206" s="199"/>
      <c r="IUJ206" s="199"/>
      <c r="IUK206" s="199"/>
      <c r="IUL206" s="199"/>
      <c r="IUM206" s="199"/>
      <c r="IUN206" s="199"/>
      <c r="IUO206" s="199"/>
      <c r="IUP206" s="199"/>
      <c r="IUQ206" s="199"/>
      <c r="IUR206" s="199"/>
      <c r="IUS206" s="199"/>
      <c r="IUT206" s="199"/>
      <c r="IUU206" s="199"/>
      <c r="IUV206" s="199"/>
      <c r="IUW206" s="199"/>
      <c r="IUX206" s="199"/>
      <c r="IUY206" s="199"/>
      <c r="IUZ206" s="199"/>
      <c r="IVA206" s="199"/>
      <c r="IVB206" s="199"/>
      <c r="IVC206" s="199"/>
      <c r="IVD206" s="199"/>
      <c r="IVE206" s="199"/>
      <c r="IVF206" s="199"/>
      <c r="IVG206" s="199"/>
      <c r="IVH206" s="199"/>
      <c r="IVI206" s="199"/>
      <c r="IVJ206" s="199"/>
      <c r="IVK206" s="199"/>
      <c r="IVL206" s="199"/>
      <c r="IVM206" s="199"/>
      <c r="IVN206" s="199"/>
      <c r="IVO206" s="199"/>
      <c r="IVP206" s="199"/>
      <c r="IVQ206" s="199"/>
      <c r="IVR206" s="199"/>
      <c r="IVS206" s="199"/>
      <c r="IVT206" s="199"/>
      <c r="IVU206" s="199"/>
      <c r="IVV206" s="199"/>
      <c r="IVW206" s="199"/>
      <c r="IVX206" s="199"/>
      <c r="IVY206" s="199"/>
      <c r="IVZ206" s="199"/>
      <c r="IWA206" s="199"/>
      <c r="IWB206" s="199"/>
      <c r="IWC206" s="199"/>
      <c r="IWD206" s="199"/>
      <c r="IWE206" s="199"/>
      <c r="IWF206" s="199"/>
      <c r="IWG206" s="199"/>
      <c r="IWH206" s="199"/>
      <c r="IWI206" s="199"/>
      <c r="IWJ206" s="199"/>
      <c r="IWK206" s="199"/>
      <c r="IWL206" s="199"/>
      <c r="IWM206" s="199"/>
      <c r="IWN206" s="199"/>
      <c r="IWO206" s="199"/>
      <c r="IWP206" s="199"/>
      <c r="IWQ206" s="199"/>
      <c r="IWR206" s="199"/>
      <c r="IWS206" s="199"/>
      <c r="IWT206" s="199"/>
      <c r="IWU206" s="199"/>
      <c r="IWV206" s="199"/>
      <c r="IWW206" s="199"/>
      <c r="IWX206" s="199"/>
      <c r="IWY206" s="199"/>
      <c r="IWZ206" s="199"/>
      <c r="IXA206" s="199"/>
      <c r="IXB206" s="199"/>
      <c r="IXC206" s="199"/>
      <c r="IXD206" s="199"/>
      <c r="IXE206" s="199"/>
      <c r="IXF206" s="199"/>
      <c r="IXG206" s="199"/>
      <c r="IXH206" s="199"/>
      <c r="IXI206" s="199"/>
      <c r="IXJ206" s="199"/>
      <c r="IXK206" s="199"/>
      <c r="IXL206" s="199"/>
      <c r="IXM206" s="199"/>
      <c r="IXN206" s="199"/>
      <c r="IXO206" s="199"/>
      <c r="IXP206" s="199"/>
      <c r="IXQ206" s="199"/>
      <c r="IXR206" s="199"/>
      <c r="IXS206" s="199"/>
      <c r="IXT206" s="199"/>
      <c r="IXU206" s="199"/>
      <c r="IXV206" s="199"/>
      <c r="IXW206" s="199"/>
      <c r="IXX206" s="199"/>
      <c r="IXY206" s="199"/>
      <c r="IXZ206" s="199"/>
      <c r="IYA206" s="199"/>
      <c r="IYB206" s="199"/>
      <c r="IYC206" s="199"/>
      <c r="IYD206" s="199"/>
      <c r="IYE206" s="199"/>
      <c r="IYF206" s="199"/>
      <c r="IYG206" s="199"/>
      <c r="IYH206" s="199"/>
      <c r="IYI206" s="199"/>
      <c r="IYJ206" s="199"/>
      <c r="IYK206" s="199"/>
      <c r="IYL206" s="199"/>
      <c r="IYM206" s="199"/>
      <c r="IYN206" s="199"/>
      <c r="IYO206" s="199"/>
      <c r="IYP206" s="199"/>
      <c r="IYQ206" s="199"/>
      <c r="IYR206" s="199"/>
      <c r="IYS206" s="199"/>
      <c r="IYT206" s="199"/>
      <c r="IYU206" s="199"/>
      <c r="IYV206" s="199"/>
      <c r="IYW206" s="199"/>
      <c r="IYX206" s="199"/>
      <c r="IYY206" s="199"/>
      <c r="IYZ206" s="199"/>
      <c r="IZA206" s="199"/>
      <c r="IZB206" s="199"/>
      <c r="IZC206" s="199"/>
      <c r="IZD206" s="199"/>
      <c r="IZE206" s="199"/>
      <c r="IZF206" s="199"/>
      <c r="IZG206" s="199"/>
      <c r="IZH206" s="199"/>
      <c r="IZI206" s="199"/>
      <c r="IZJ206" s="199"/>
      <c r="IZK206" s="199"/>
      <c r="IZL206" s="199"/>
      <c r="IZM206" s="199"/>
      <c r="IZN206" s="199"/>
      <c r="IZO206" s="199"/>
      <c r="IZP206" s="199"/>
      <c r="IZQ206" s="199"/>
      <c r="IZR206" s="199"/>
      <c r="IZS206" s="199"/>
      <c r="IZT206" s="199"/>
      <c r="IZU206" s="199"/>
      <c r="IZV206" s="199"/>
      <c r="IZW206" s="199"/>
      <c r="IZX206" s="199"/>
      <c r="IZY206" s="199"/>
      <c r="IZZ206" s="199"/>
      <c r="JAA206" s="199"/>
      <c r="JAB206" s="199"/>
      <c r="JAC206" s="199"/>
      <c r="JAD206" s="199"/>
      <c r="JAE206" s="199"/>
      <c r="JAF206" s="199"/>
      <c r="JAG206" s="199"/>
      <c r="JAH206" s="199"/>
      <c r="JAI206" s="199"/>
      <c r="JAJ206" s="199"/>
      <c r="JAK206" s="199"/>
      <c r="JAL206" s="199"/>
      <c r="JAM206" s="199"/>
      <c r="JAN206" s="199"/>
      <c r="JAO206" s="199"/>
      <c r="JAP206" s="199"/>
      <c r="JAQ206" s="199"/>
      <c r="JAR206" s="199"/>
      <c r="JAS206" s="199"/>
      <c r="JAT206" s="199"/>
      <c r="JAU206" s="199"/>
      <c r="JAV206" s="199"/>
      <c r="JAW206" s="199"/>
      <c r="JAX206" s="199"/>
      <c r="JAY206" s="199"/>
      <c r="JAZ206" s="199"/>
      <c r="JBA206" s="199"/>
      <c r="JBB206" s="199"/>
      <c r="JBC206" s="199"/>
      <c r="JBD206" s="199"/>
      <c r="JBE206" s="199"/>
      <c r="JBF206" s="199"/>
      <c r="JBG206" s="199"/>
      <c r="JBH206" s="199"/>
      <c r="JBI206" s="199"/>
      <c r="JBJ206" s="199"/>
      <c r="JBK206" s="199"/>
      <c r="JBL206" s="199"/>
      <c r="JBM206" s="199"/>
      <c r="JBN206" s="199"/>
      <c r="JBO206" s="199"/>
      <c r="JBP206" s="199"/>
      <c r="JBQ206" s="199"/>
      <c r="JBR206" s="199"/>
      <c r="JBS206" s="199"/>
      <c r="JBT206" s="199"/>
      <c r="JBU206" s="199"/>
      <c r="JBV206" s="199"/>
      <c r="JBW206" s="199"/>
      <c r="JBX206" s="199"/>
      <c r="JBY206" s="199"/>
      <c r="JBZ206" s="199"/>
      <c r="JCA206" s="199"/>
      <c r="JCB206" s="199"/>
      <c r="JCC206" s="199"/>
      <c r="JCD206" s="199"/>
      <c r="JCE206" s="199"/>
      <c r="JCF206" s="199"/>
      <c r="JCG206" s="199"/>
      <c r="JCH206" s="199"/>
      <c r="JCI206" s="199"/>
      <c r="JCJ206" s="199"/>
      <c r="JCK206" s="199"/>
      <c r="JCL206" s="199"/>
      <c r="JCM206" s="199"/>
      <c r="JCN206" s="199"/>
      <c r="JCO206" s="199"/>
      <c r="JCP206" s="199"/>
      <c r="JCQ206" s="199"/>
      <c r="JCR206" s="199"/>
      <c r="JCS206" s="199"/>
      <c r="JCT206" s="199"/>
      <c r="JCU206" s="199"/>
      <c r="JCV206" s="199"/>
      <c r="JCW206" s="199"/>
      <c r="JCX206" s="199"/>
      <c r="JCY206" s="199"/>
      <c r="JCZ206" s="199"/>
      <c r="JDA206" s="199"/>
      <c r="JDB206" s="199"/>
      <c r="JDC206" s="199"/>
      <c r="JDD206" s="199"/>
      <c r="JDE206" s="199"/>
      <c r="JDF206" s="199"/>
      <c r="JDG206" s="199"/>
      <c r="JDH206" s="199"/>
      <c r="JDI206" s="199"/>
      <c r="JDJ206" s="199"/>
      <c r="JDK206" s="199"/>
      <c r="JDL206" s="199"/>
      <c r="JDM206" s="199"/>
      <c r="JDN206" s="199"/>
      <c r="JDO206" s="199"/>
      <c r="JDP206" s="199"/>
      <c r="JDQ206" s="199"/>
      <c r="JDR206" s="199"/>
      <c r="JDS206" s="199"/>
      <c r="JDT206" s="199"/>
      <c r="JDU206" s="199"/>
      <c r="JDV206" s="199"/>
      <c r="JDW206" s="199"/>
      <c r="JDX206" s="199"/>
      <c r="JDY206" s="199"/>
      <c r="JDZ206" s="199"/>
      <c r="JEA206" s="199"/>
      <c r="JEB206" s="199"/>
      <c r="JEC206" s="199"/>
      <c r="JED206" s="199"/>
      <c r="JEE206" s="199"/>
      <c r="JEF206" s="199"/>
      <c r="JEG206" s="199"/>
      <c r="JEH206" s="199"/>
      <c r="JEI206" s="199"/>
      <c r="JEJ206" s="199"/>
      <c r="JEK206" s="199"/>
      <c r="JEL206" s="199"/>
      <c r="JEM206" s="199"/>
      <c r="JEN206" s="199"/>
      <c r="JEO206" s="199"/>
      <c r="JEP206" s="199"/>
      <c r="JEQ206" s="199"/>
      <c r="JER206" s="199"/>
      <c r="JES206" s="199"/>
      <c r="JET206" s="199"/>
      <c r="JEU206" s="199"/>
      <c r="JEV206" s="199"/>
      <c r="JEW206" s="199"/>
      <c r="JEX206" s="199"/>
      <c r="JEY206" s="199"/>
      <c r="JEZ206" s="199"/>
      <c r="JFA206" s="199"/>
      <c r="JFB206" s="199"/>
      <c r="JFC206" s="199"/>
      <c r="JFD206" s="199"/>
      <c r="JFE206" s="199"/>
      <c r="JFF206" s="199"/>
      <c r="JFG206" s="199"/>
      <c r="JFH206" s="199"/>
      <c r="JFI206" s="199"/>
      <c r="JFJ206" s="199"/>
      <c r="JFK206" s="199"/>
      <c r="JFL206" s="199"/>
      <c r="JFM206" s="199"/>
      <c r="JFN206" s="199"/>
      <c r="JFO206" s="199"/>
      <c r="JFP206" s="199"/>
      <c r="JFQ206" s="199"/>
      <c r="JFR206" s="199"/>
      <c r="JFS206" s="199"/>
      <c r="JFT206" s="199"/>
      <c r="JFU206" s="199"/>
      <c r="JFV206" s="199"/>
      <c r="JFW206" s="199"/>
      <c r="JFX206" s="199"/>
      <c r="JFY206" s="199"/>
      <c r="JFZ206" s="199"/>
      <c r="JGA206" s="199"/>
      <c r="JGB206" s="199"/>
      <c r="JGC206" s="199"/>
      <c r="JGD206" s="199"/>
      <c r="JGE206" s="199"/>
      <c r="JGF206" s="199"/>
      <c r="JGG206" s="199"/>
      <c r="JGH206" s="199"/>
      <c r="JGI206" s="199"/>
      <c r="JGJ206" s="199"/>
      <c r="JGK206" s="199"/>
      <c r="JGL206" s="199"/>
      <c r="JGM206" s="199"/>
      <c r="JGN206" s="199"/>
      <c r="JGO206" s="199"/>
      <c r="JGP206" s="199"/>
      <c r="JGQ206" s="199"/>
      <c r="JGR206" s="199"/>
      <c r="JGS206" s="199"/>
      <c r="JGT206" s="199"/>
      <c r="JGU206" s="199"/>
      <c r="JGV206" s="199"/>
      <c r="JGW206" s="199"/>
      <c r="JGX206" s="199"/>
      <c r="JGY206" s="199"/>
      <c r="JGZ206" s="199"/>
      <c r="JHA206" s="199"/>
      <c r="JHB206" s="199"/>
      <c r="JHC206" s="199"/>
      <c r="JHD206" s="199"/>
      <c r="JHE206" s="199"/>
      <c r="JHF206" s="199"/>
      <c r="JHG206" s="199"/>
      <c r="JHH206" s="199"/>
      <c r="JHI206" s="199"/>
      <c r="JHJ206" s="199"/>
      <c r="JHK206" s="199"/>
      <c r="JHL206" s="199"/>
      <c r="JHM206" s="199"/>
      <c r="JHN206" s="199"/>
      <c r="JHO206" s="199"/>
      <c r="JHP206" s="199"/>
      <c r="JHQ206" s="199"/>
      <c r="JHR206" s="199"/>
      <c r="JHS206" s="199"/>
      <c r="JHT206" s="199"/>
      <c r="JHU206" s="199"/>
      <c r="JHV206" s="199"/>
      <c r="JHW206" s="199"/>
      <c r="JHX206" s="199"/>
      <c r="JHY206" s="199"/>
      <c r="JHZ206" s="199"/>
      <c r="JIA206" s="199"/>
      <c r="JIB206" s="199"/>
      <c r="JIC206" s="199"/>
      <c r="JID206" s="199"/>
      <c r="JIE206" s="199"/>
      <c r="JIF206" s="199"/>
      <c r="JIG206" s="199"/>
      <c r="JIH206" s="199"/>
      <c r="JII206" s="199"/>
      <c r="JIJ206" s="199"/>
      <c r="JIK206" s="199"/>
      <c r="JIL206" s="199"/>
      <c r="JIM206" s="199"/>
      <c r="JIN206" s="199"/>
      <c r="JIO206" s="199"/>
      <c r="JIP206" s="199"/>
      <c r="JIQ206" s="199"/>
      <c r="JIR206" s="199"/>
      <c r="JIS206" s="199"/>
      <c r="JIT206" s="199"/>
      <c r="JIU206" s="199"/>
      <c r="JIV206" s="199"/>
      <c r="JIW206" s="199"/>
      <c r="JIX206" s="199"/>
      <c r="JIY206" s="199"/>
      <c r="JIZ206" s="199"/>
      <c r="JJA206" s="199"/>
      <c r="JJB206" s="199"/>
      <c r="JJC206" s="199"/>
      <c r="JJD206" s="199"/>
      <c r="JJE206" s="199"/>
      <c r="JJF206" s="199"/>
      <c r="JJG206" s="199"/>
      <c r="JJH206" s="199"/>
      <c r="JJI206" s="199"/>
      <c r="JJJ206" s="199"/>
      <c r="JJK206" s="199"/>
      <c r="JJL206" s="199"/>
      <c r="JJM206" s="199"/>
      <c r="JJN206" s="199"/>
      <c r="JJO206" s="199"/>
      <c r="JJP206" s="199"/>
      <c r="JJQ206" s="199"/>
      <c r="JJR206" s="199"/>
      <c r="JJS206" s="199"/>
      <c r="JJT206" s="199"/>
      <c r="JJU206" s="199"/>
      <c r="JJV206" s="199"/>
      <c r="JJW206" s="199"/>
      <c r="JJX206" s="199"/>
      <c r="JJY206" s="199"/>
      <c r="JJZ206" s="199"/>
      <c r="JKA206" s="199"/>
      <c r="JKB206" s="199"/>
      <c r="JKC206" s="199"/>
      <c r="JKD206" s="199"/>
      <c r="JKE206" s="199"/>
      <c r="JKF206" s="199"/>
      <c r="JKG206" s="199"/>
      <c r="JKH206" s="199"/>
      <c r="JKI206" s="199"/>
      <c r="JKJ206" s="199"/>
      <c r="JKK206" s="199"/>
      <c r="JKL206" s="199"/>
      <c r="JKM206" s="199"/>
      <c r="JKN206" s="199"/>
      <c r="JKO206" s="199"/>
      <c r="JKP206" s="199"/>
      <c r="JKQ206" s="199"/>
      <c r="JKR206" s="199"/>
      <c r="JKS206" s="199"/>
      <c r="JKT206" s="199"/>
      <c r="JKU206" s="199"/>
      <c r="JKV206" s="199"/>
      <c r="JKW206" s="199"/>
      <c r="JKX206" s="199"/>
      <c r="JKY206" s="199"/>
      <c r="JKZ206" s="199"/>
      <c r="JLA206" s="199"/>
      <c r="JLB206" s="199"/>
      <c r="JLC206" s="199"/>
      <c r="JLD206" s="199"/>
      <c r="JLE206" s="199"/>
      <c r="JLF206" s="199"/>
      <c r="JLG206" s="199"/>
      <c r="JLH206" s="199"/>
      <c r="JLI206" s="199"/>
      <c r="JLJ206" s="199"/>
      <c r="JLK206" s="199"/>
      <c r="JLL206" s="199"/>
      <c r="JLM206" s="199"/>
      <c r="JLN206" s="199"/>
      <c r="JLO206" s="199"/>
      <c r="JLP206" s="199"/>
      <c r="JLQ206" s="199"/>
      <c r="JLR206" s="199"/>
      <c r="JLS206" s="199"/>
      <c r="JLT206" s="199"/>
      <c r="JLU206" s="199"/>
      <c r="JLV206" s="199"/>
      <c r="JLW206" s="199"/>
      <c r="JLX206" s="199"/>
      <c r="JLY206" s="199"/>
      <c r="JLZ206" s="199"/>
      <c r="JMA206" s="199"/>
      <c r="JMB206" s="199"/>
      <c r="JMC206" s="199"/>
      <c r="JMD206" s="199"/>
      <c r="JME206" s="199"/>
      <c r="JMF206" s="199"/>
      <c r="JMG206" s="199"/>
      <c r="JMH206" s="199"/>
      <c r="JMI206" s="199"/>
      <c r="JMJ206" s="199"/>
      <c r="JMK206" s="199"/>
      <c r="JML206" s="199"/>
      <c r="JMM206" s="199"/>
      <c r="JMN206" s="199"/>
      <c r="JMO206" s="199"/>
      <c r="JMP206" s="199"/>
      <c r="JMQ206" s="199"/>
      <c r="JMR206" s="199"/>
      <c r="JMS206" s="199"/>
      <c r="JMT206" s="199"/>
      <c r="JMU206" s="199"/>
      <c r="JMV206" s="199"/>
      <c r="JMW206" s="199"/>
      <c r="JMX206" s="199"/>
      <c r="JMY206" s="199"/>
      <c r="JMZ206" s="199"/>
      <c r="JNA206" s="199"/>
      <c r="JNB206" s="199"/>
      <c r="JNC206" s="199"/>
      <c r="JND206" s="199"/>
      <c r="JNE206" s="199"/>
      <c r="JNF206" s="199"/>
      <c r="JNG206" s="199"/>
      <c r="JNH206" s="199"/>
      <c r="JNI206" s="199"/>
      <c r="JNJ206" s="199"/>
      <c r="JNK206" s="199"/>
      <c r="JNL206" s="199"/>
      <c r="JNM206" s="199"/>
      <c r="JNN206" s="199"/>
      <c r="JNO206" s="199"/>
      <c r="JNP206" s="199"/>
      <c r="JNQ206" s="199"/>
      <c r="JNR206" s="199"/>
      <c r="JNS206" s="199"/>
      <c r="JNT206" s="199"/>
      <c r="JNU206" s="199"/>
      <c r="JNV206" s="199"/>
      <c r="JNW206" s="199"/>
      <c r="JNX206" s="199"/>
      <c r="JNY206" s="199"/>
      <c r="JNZ206" s="199"/>
      <c r="JOA206" s="199"/>
      <c r="JOB206" s="199"/>
      <c r="JOC206" s="199"/>
      <c r="JOD206" s="199"/>
      <c r="JOE206" s="199"/>
      <c r="JOF206" s="199"/>
      <c r="JOG206" s="199"/>
      <c r="JOH206" s="199"/>
      <c r="JOI206" s="199"/>
      <c r="JOJ206" s="199"/>
      <c r="JOK206" s="199"/>
      <c r="JOL206" s="199"/>
      <c r="JOM206" s="199"/>
      <c r="JON206" s="199"/>
      <c r="JOO206" s="199"/>
      <c r="JOP206" s="199"/>
      <c r="JOQ206" s="199"/>
      <c r="JOR206" s="199"/>
      <c r="JOS206" s="199"/>
      <c r="JOT206" s="199"/>
      <c r="JOU206" s="199"/>
      <c r="JOV206" s="199"/>
      <c r="JOW206" s="199"/>
      <c r="JOX206" s="199"/>
      <c r="JOY206" s="199"/>
      <c r="JOZ206" s="199"/>
      <c r="JPA206" s="199"/>
      <c r="JPB206" s="199"/>
      <c r="JPC206" s="199"/>
      <c r="JPD206" s="199"/>
      <c r="JPE206" s="199"/>
      <c r="JPF206" s="199"/>
      <c r="JPG206" s="199"/>
      <c r="JPH206" s="199"/>
      <c r="JPI206" s="199"/>
      <c r="JPJ206" s="199"/>
      <c r="JPK206" s="199"/>
      <c r="JPL206" s="199"/>
      <c r="JPM206" s="199"/>
      <c r="JPN206" s="199"/>
      <c r="JPO206" s="199"/>
      <c r="JPP206" s="199"/>
      <c r="JPQ206" s="199"/>
      <c r="JPR206" s="199"/>
      <c r="JPS206" s="199"/>
      <c r="JPT206" s="199"/>
      <c r="JPU206" s="199"/>
      <c r="JPV206" s="199"/>
      <c r="JPW206" s="199"/>
      <c r="JPX206" s="199"/>
      <c r="JPY206" s="199"/>
      <c r="JPZ206" s="199"/>
      <c r="JQA206" s="199"/>
      <c r="JQB206" s="199"/>
      <c r="JQC206" s="199"/>
      <c r="JQD206" s="199"/>
      <c r="JQE206" s="199"/>
      <c r="JQF206" s="199"/>
      <c r="JQG206" s="199"/>
      <c r="JQH206" s="199"/>
      <c r="JQI206" s="199"/>
      <c r="JQJ206" s="199"/>
      <c r="JQK206" s="199"/>
      <c r="JQL206" s="199"/>
      <c r="JQM206" s="199"/>
      <c r="JQN206" s="199"/>
      <c r="JQO206" s="199"/>
      <c r="JQP206" s="199"/>
      <c r="JQQ206" s="199"/>
      <c r="JQR206" s="199"/>
      <c r="JQS206" s="199"/>
      <c r="JQT206" s="199"/>
      <c r="JQU206" s="199"/>
      <c r="JQV206" s="199"/>
      <c r="JQW206" s="199"/>
      <c r="JQX206" s="199"/>
      <c r="JQY206" s="199"/>
      <c r="JQZ206" s="199"/>
      <c r="JRA206" s="199"/>
      <c r="JRB206" s="199"/>
      <c r="JRC206" s="199"/>
      <c r="JRD206" s="199"/>
      <c r="JRE206" s="199"/>
      <c r="JRF206" s="199"/>
      <c r="JRG206" s="199"/>
      <c r="JRH206" s="199"/>
      <c r="JRI206" s="199"/>
      <c r="JRJ206" s="199"/>
      <c r="JRK206" s="199"/>
      <c r="JRL206" s="199"/>
      <c r="JRM206" s="199"/>
      <c r="JRN206" s="199"/>
      <c r="JRO206" s="199"/>
      <c r="JRP206" s="199"/>
      <c r="JRQ206" s="199"/>
      <c r="JRR206" s="199"/>
      <c r="JRS206" s="199"/>
      <c r="JRT206" s="199"/>
      <c r="JRU206" s="199"/>
      <c r="JRV206" s="199"/>
      <c r="JRW206" s="199"/>
      <c r="JRX206" s="199"/>
      <c r="JRY206" s="199"/>
      <c r="JRZ206" s="199"/>
      <c r="JSA206" s="199"/>
      <c r="JSB206" s="199"/>
      <c r="JSC206" s="199"/>
      <c r="JSD206" s="199"/>
      <c r="JSE206" s="199"/>
      <c r="JSF206" s="199"/>
      <c r="JSG206" s="199"/>
      <c r="JSH206" s="199"/>
      <c r="JSI206" s="199"/>
      <c r="JSJ206" s="199"/>
      <c r="JSK206" s="199"/>
      <c r="JSL206" s="199"/>
      <c r="JSM206" s="199"/>
      <c r="JSN206" s="199"/>
      <c r="JSO206" s="199"/>
      <c r="JSP206" s="199"/>
      <c r="JSQ206" s="199"/>
      <c r="JSR206" s="199"/>
      <c r="JSS206" s="199"/>
      <c r="JST206" s="199"/>
      <c r="JSU206" s="199"/>
      <c r="JSV206" s="199"/>
      <c r="JSW206" s="199"/>
      <c r="JSX206" s="199"/>
      <c r="JSY206" s="199"/>
      <c r="JSZ206" s="199"/>
      <c r="JTA206" s="199"/>
      <c r="JTB206" s="199"/>
      <c r="JTC206" s="199"/>
      <c r="JTD206" s="199"/>
      <c r="JTE206" s="199"/>
      <c r="JTF206" s="199"/>
      <c r="JTG206" s="199"/>
      <c r="JTH206" s="199"/>
      <c r="JTI206" s="199"/>
      <c r="JTJ206" s="199"/>
      <c r="JTK206" s="199"/>
      <c r="JTL206" s="199"/>
      <c r="JTM206" s="199"/>
      <c r="JTN206" s="199"/>
      <c r="JTO206" s="199"/>
      <c r="JTP206" s="199"/>
      <c r="JTQ206" s="199"/>
      <c r="JTR206" s="199"/>
      <c r="JTS206" s="199"/>
      <c r="JTT206" s="199"/>
      <c r="JTU206" s="199"/>
      <c r="JTV206" s="199"/>
      <c r="JTW206" s="199"/>
      <c r="JTX206" s="199"/>
      <c r="JTY206" s="199"/>
      <c r="JTZ206" s="199"/>
      <c r="JUA206" s="199"/>
      <c r="JUB206" s="199"/>
      <c r="JUC206" s="199"/>
      <c r="JUD206" s="199"/>
      <c r="JUE206" s="199"/>
      <c r="JUF206" s="199"/>
      <c r="JUG206" s="199"/>
      <c r="JUH206" s="199"/>
      <c r="JUI206" s="199"/>
      <c r="JUJ206" s="199"/>
      <c r="JUK206" s="199"/>
      <c r="JUL206" s="199"/>
      <c r="JUM206" s="199"/>
      <c r="JUN206" s="199"/>
      <c r="JUO206" s="199"/>
      <c r="JUP206" s="199"/>
      <c r="JUQ206" s="199"/>
      <c r="JUR206" s="199"/>
      <c r="JUS206" s="199"/>
      <c r="JUT206" s="199"/>
      <c r="JUU206" s="199"/>
      <c r="JUV206" s="199"/>
      <c r="JUW206" s="199"/>
      <c r="JUX206" s="199"/>
      <c r="JUY206" s="199"/>
      <c r="JUZ206" s="199"/>
      <c r="JVA206" s="199"/>
      <c r="JVB206" s="199"/>
      <c r="JVC206" s="199"/>
      <c r="JVD206" s="199"/>
      <c r="JVE206" s="199"/>
      <c r="JVF206" s="199"/>
      <c r="JVG206" s="199"/>
      <c r="JVH206" s="199"/>
      <c r="JVI206" s="199"/>
      <c r="JVJ206" s="199"/>
      <c r="JVK206" s="199"/>
      <c r="JVL206" s="199"/>
      <c r="JVM206" s="199"/>
      <c r="JVN206" s="199"/>
      <c r="JVO206" s="199"/>
      <c r="JVP206" s="199"/>
      <c r="JVQ206" s="199"/>
      <c r="JVR206" s="199"/>
      <c r="JVS206" s="199"/>
      <c r="JVT206" s="199"/>
      <c r="JVU206" s="199"/>
      <c r="JVV206" s="199"/>
      <c r="JVW206" s="199"/>
      <c r="JVX206" s="199"/>
      <c r="JVY206" s="199"/>
      <c r="JVZ206" s="199"/>
      <c r="JWA206" s="199"/>
      <c r="JWB206" s="199"/>
      <c r="JWC206" s="199"/>
      <c r="JWD206" s="199"/>
      <c r="JWE206" s="199"/>
      <c r="JWF206" s="199"/>
      <c r="JWG206" s="199"/>
      <c r="JWH206" s="199"/>
      <c r="JWI206" s="199"/>
      <c r="JWJ206" s="199"/>
      <c r="JWK206" s="199"/>
      <c r="JWL206" s="199"/>
      <c r="JWM206" s="199"/>
      <c r="JWN206" s="199"/>
      <c r="JWO206" s="199"/>
      <c r="JWP206" s="199"/>
      <c r="JWQ206" s="199"/>
      <c r="JWR206" s="199"/>
      <c r="JWS206" s="199"/>
      <c r="JWT206" s="199"/>
      <c r="JWU206" s="199"/>
      <c r="JWV206" s="199"/>
      <c r="JWW206" s="199"/>
      <c r="JWX206" s="199"/>
      <c r="JWY206" s="199"/>
      <c r="JWZ206" s="199"/>
      <c r="JXA206" s="199"/>
      <c r="JXB206" s="199"/>
      <c r="JXC206" s="199"/>
      <c r="JXD206" s="199"/>
      <c r="JXE206" s="199"/>
      <c r="JXF206" s="199"/>
      <c r="JXG206" s="199"/>
      <c r="JXH206" s="199"/>
      <c r="JXI206" s="199"/>
      <c r="JXJ206" s="199"/>
      <c r="JXK206" s="199"/>
      <c r="JXL206" s="199"/>
      <c r="JXM206" s="199"/>
      <c r="JXN206" s="199"/>
      <c r="JXO206" s="199"/>
      <c r="JXP206" s="199"/>
      <c r="JXQ206" s="199"/>
      <c r="JXR206" s="199"/>
      <c r="JXS206" s="199"/>
      <c r="JXT206" s="199"/>
      <c r="JXU206" s="199"/>
      <c r="JXV206" s="199"/>
      <c r="JXW206" s="199"/>
      <c r="JXX206" s="199"/>
      <c r="JXY206" s="199"/>
      <c r="JXZ206" s="199"/>
      <c r="JYA206" s="199"/>
      <c r="JYB206" s="199"/>
      <c r="JYC206" s="199"/>
      <c r="JYD206" s="199"/>
      <c r="JYE206" s="199"/>
      <c r="JYF206" s="199"/>
      <c r="JYG206" s="199"/>
      <c r="JYH206" s="199"/>
      <c r="JYI206" s="199"/>
      <c r="JYJ206" s="199"/>
      <c r="JYK206" s="199"/>
      <c r="JYL206" s="199"/>
      <c r="JYM206" s="199"/>
      <c r="JYN206" s="199"/>
      <c r="JYO206" s="199"/>
      <c r="JYP206" s="199"/>
      <c r="JYQ206" s="199"/>
      <c r="JYR206" s="199"/>
      <c r="JYS206" s="199"/>
      <c r="JYT206" s="199"/>
      <c r="JYU206" s="199"/>
      <c r="JYV206" s="199"/>
      <c r="JYW206" s="199"/>
      <c r="JYX206" s="199"/>
      <c r="JYY206" s="199"/>
      <c r="JYZ206" s="199"/>
      <c r="JZA206" s="199"/>
      <c r="JZB206" s="199"/>
      <c r="JZC206" s="199"/>
      <c r="JZD206" s="199"/>
      <c r="JZE206" s="199"/>
      <c r="JZF206" s="199"/>
      <c r="JZG206" s="199"/>
      <c r="JZH206" s="199"/>
      <c r="JZI206" s="199"/>
      <c r="JZJ206" s="199"/>
      <c r="JZK206" s="199"/>
      <c r="JZL206" s="199"/>
      <c r="JZM206" s="199"/>
      <c r="JZN206" s="199"/>
      <c r="JZO206" s="199"/>
      <c r="JZP206" s="199"/>
      <c r="JZQ206" s="199"/>
      <c r="JZR206" s="199"/>
      <c r="JZS206" s="199"/>
      <c r="JZT206" s="199"/>
      <c r="JZU206" s="199"/>
      <c r="JZV206" s="199"/>
      <c r="JZW206" s="199"/>
      <c r="JZX206" s="199"/>
      <c r="JZY206" s="199"/>
      <c r="JZZ206" s="199"/>
      <c r="KAA206" s="199"/>
      <c r="KAB206" s="199"/>
      <c r="KAC206" s="199"/>
      <c r="KAD206" s="199"/>
      <c r="KAE206" s="199"/>
      <c r="KAF206" s="199"/>
      <c r="KAG206" s="199"/>
      <c r="KAH206" s="199"/>
      <c r="KAI206" s="199"/>
      <c r="KAJ206" s="199"/>
      <c r="KAK206" s="199"/>
      <c r="KAL206" s="199"/>
      <c r="KAM206" s="199"/>
      <c r="KAN206" s="199"/>
      <c r="KAO206" s="199"/>
      <c r="KAP206" s="199"/>
      <c r="KAQ206" s="199"/>
      <c r="KAR206" s="199"/>
      <c r="KAS206" s="199"/>
      <c r="KAT206" s="199"/>
      <c r="KAU206" s="199"/>
      <c r="KAV206" s="199"/>
      <c r="KAW206" s="199"/>
      <c r="KAX206" s="199"/>
      <c r="KAY206" s="199"/>
      <c r="KAZ206" s="199"/>
      <c r="KBA206" s="199"/>
      <c r="KBB206" s="199"/>
      <c r="KBC206" s="199"/>
      <c r="KBD206" s="199"/>
      <c r="KBE206" s="199"/>
      <c r="KBF206" s="199"/>
      <c r="KBG206" s="199"/>
      <c r="KBH206" s="199"/>
      <c r="KBI206" s="199"/>
      <c r="KBJ206" s="199"/>
      <c r="KBK206" s="199"/>
      <c r="KBL206" s="199"/>
      <c r="KBM206" s="199"/>
      <c r="KBN206" s="199"/>
      <c r="KBO206" s="199"/>
      <c r="KBP206" s="199"/>
      <c r="KBQ206" s="199"/>
      <c r="KBR206" s="199"/>
      <c r="KBS206" s="199"/>
      <c r="KBT206" s="199"/>
      <c r="KBU206" s="199"/>
      <c r="KBV206" s="199"/>
      <c r="KBW206" s="199"/>
      <c r="KBX206" s="199"/>
      <c r="KBY206" s="199"/>
      <c r="KBZ206" s="199"/>
      <c r="KCA206" s="199"/>
      <c r="KCB206" s="199"/>
      <c r="KCC206" s="199"/>
      <c r="KCD206" s="199"/>
      <c r="KCE206" s="199"/>
      <c r="KCF206" s="199"/>
      <c r="KCG206" s="199"/>
      <c r="KCH206" s="199"/>
      <c r="KCI206" s="199"/>
      <c r="KCJ206" s="199"/>
      <c r="KCK206" s="199"/>
      <c r="KCL206" s="199"/>
      <c r="KCM206" s="199"/>
      <c r="KCN206" s="199"/>
      <c r="KCO206" s="199"/>
      <c r="KCP206" s="199"/>
      <c r="KCQ206" s="199"/>
      <c r="KCR206" s="199"/>
      <c r="KCS206" s="199"/>
      <c r="KCT206" s="199"/>
      <c r="KCU206" s="199"/>
      <c r="KCV206" s="199"/>
      <c r="KCW206" s="199"/>
      <c r="KCX206" s="199"/>
      <c r="KCY206" s="199"/>
      <c r="KCZ206" s="199"/>
      <c r="KDA206" s="199"/>
      <c r="KDB206" s="199"/>
      <c r="KDC206" s="199"/>
      <c r="KDD206" s="199"/>
      <c r="KDE206" s="199"/>
      <c r="KDF206" s="199"/>
      <c r="KDG206" s="199"/>
      <c r="KDH206" s="199"/>
      <c r="KDI206" s="199"/>
      <c r="KDJ206" s="199"/>
      <c r="KDK206" s="199"/>
      <c r="KDL206" s="199"/>
      <c r="KDM206" s="199"/>
      <c r="KDN206" s="199"/>
      <c r="KDO206" s="199"/>
      <c r="KDP206" s="199"/>
      <c r="KDQ206" s="199"/>
      <c r="KDR206" s="199"/>
      <c r="KDS206" s="199"/>
      <c r="KDT206" s="199"/>
      <c r="KDU206" s="199"/>
      <c r="KDV206" s="199"/>
      <c r="KDW206" s="199"/>
      <c r="KDX206" s="199"/>
      <c r="KDY206" s="199"/>
      <c r="KDZ206" s="199"/>
      <c r="KEA206" s="199"/>
      <c r="KEB206" s="199"/>
      <c r="KEC206" s="199"/>
      <c r="KED206" s="199"/>
      <c r="KEE206" s="199"/>
      <c r="KEF206" s="199"/>
      <c r="KEG206" s="199"/>
      <c r="KEH206" s="199"/>
      <c r="KEI206" s="199"/>
      <c r="KEJ206" s="199"/>
      <c r="KEK206" s="199"/>
      <c r="KEL206" s="199"/>
      <c r="KEM206" s="199"/>
      <c r="KEN206" s="199"/>
      <c r="KEO206" s="199"/>
      <c r="KEP206" s="199"/>
      <c r="KEQ206" s="199"/>
      <c r="KER206" s="199"/>
      <c r="KES206" s="199"/>
      <c r="KET206" s="199"/>
      <c r="KEU206" s="199"/>
      <c r="KEV206" s="199"/>
      <c r="KEW206" s="199"/>
      <c r="KEX206" s="199"/>
      <c r="KEY206" s="199"/>
      <c r="KEZ206" s="199"/>
      <c r="KFA206" s="199"/>
      <c r="KFB206" s="199"/>
      <c r="KFC206" s="199"/>
      <c r="KFD206" s="199"/>
      <c r="KFE206" s="199"/>
      <c r="KFF206" s="199"/>
      <c r="KFG206" s="199"/>
      <c r="KFH206" s="199"/>
      <c r="KFI206" s="199"/>
      <c r="KFJ206" s="199"/>
      <c r="KFK206" s="199"/>
      <c r="KFL206" s="199"/>
      <c r="KFM206" s="199"/>
      <c r="KFN206" s="199"/>
      <c r="KFO206" s="199"/>
      <c r="KFP206" s="199"/>
      <c r="KFQ206" s="199"/>
      <c r="KFR206" s="199"/>
      <c r="KFS206" s="199"/>
      <c r="KFT206" s="199"/>
      <c r="KFU206" s="199"/>
      <c r="KFV206" s="199"/>
      <c r="KFW206" s="199"/>
      <c r="KFX206" s="199"/>
      <c r="KFY206" s="199"/>
      <c r="KFZ206" s="199"/>
      <c r="KGA206" s="199"/>
      <c r="KGB206" s="199"/>
      <c r="KGC206" s="199"/>
      <c r="KGD206" s="199"/>
      <c r="KGE206" s="199"/>
      <c r="KGF206" s="199"/>
      <c r="KGG206" s="199"/>
      <c r="KGH206" s="199"/>
      <c r="KGI206" s="199"/>
      <c r="KGJ206" s="199"/>
      <c r="KGK206" s="199"/>
      <c r="KGL206" s="199"/>
      <c r="KGM206" s="199"/>
      <c r="KGN206" s="199"/>
      <c r="KGO206" s="199"/>
      <c r="KGP206" s="199"/>
      <c r="KGQ206" s="199"/>
      <c r="KGR206" s="199"/>
      <c r="KGS206" s="199"/>
      <c r="KGT206" s="199"/>
      <c r="KGU206" s="199"/>
      <c r="KGV206" s="199"/>
      <c r="KGW206" s="199"/>
      <c r="KGX206" s="199"/>
      <c r="KGY206" s="199"/>
      <c r="KGZ206" s="199"/>
      <c r="KHA206" s="199"/>
      <c r="KHB206" s="199"/>
      <c r="KHC206" s="199"/>
      <c r="KHD206" s="199"/>
      <c r="KHE206" s="199"/>
      <c r="KHF206" s="199"/>
      <c r="KHG206" s="199"/>
      <c r="KHH206" s="199"/>
      <c r="KHI206" s="199"/>
      <c r="KHJ206" s="199"/>
      <c r="KHK206" s="199"/>
      <c r="KHL206" s="199"/>
      <c r="KHM206" s="199"/>
      <c r="KHN206" s="199"/>
      <c r="KHO206" s="199"/>
      <c r="KHP206" s="199"/>
      <c r="KHQ206" s="199"/>
      <c r="KHR206" s="199"/>
      <c r="KHS206" s="199"/>
      <c r="KHT206" s="199"/>
      <c r="KHU206" s="199"/>
      <c r="KHV206" s="199"/>
      <c r="KHW206" s="199"/>
      <c r="KHX206" s="199"/>
      <c r="KHY206" s="199"/>
      <c r="KHZ206" s="199"/>
      <c r="KIA206" s="199"/>
      <c r="KIB206" s="199"/>
      <c r="KIC206" s="199"/>
      <c r="KID206" s="199"/>
      <c r="KIE206" s="199"/>
      <c r="KIF206" s="199"/>
      <c r="KIG206" s="199"/>
      <c r="KIH206" s="199"/>
      <c r="KII206" s="199"/>
      <c r="KIJ206" s="199"/>
      <c r="KIK206" s="199"/>
      <c r="KIL206" s="199"/>
      <c r="KIM206" s="199"/>
      <c r="KIN206" s="199"/>
      <c r="KIO206" s="199"/>
      <c r="KIP206" s="199"/>
      <c r="KIQ206" s="199"/>
      <c r="KIR206" s="199"/>
      <c r="KIS206" s="199"/>
      <c r="KIT206" s="199"/>
      <c r="KIU206" s="199"/>
      <c r="KIV206" s="199"/>
      <c r="KIW206" s="199"/>
      <c r="KIX206" s="199"/>
      <c r="KIY206" s="199"/>
      <c r="KIZ206" s="199"/>
      <c r="KJA206" s="199"/>
      <c r="KJB206" s="199"/>
      <c r="KJC206" s="199"/>
      <c r="KJD206" s="199"/>
      <c r="KJE206" s="199"/>
      <c r="KJF206" s="199"/>
      <c r="KJG206" s="199"/>
      <c r="KJH206" s="199"/>
      <c r="KJI206" s="199"/>
      <c r="KJJ206" s="199"/>
      <c r="KJK206" s="199"/>
      <c r="KJL206" s="199"/>
      <c r="KJM206" s="199"/>
      <c r="KJN206" s="199"/>
      <c r="KJO206" s="199"/>
      <c r="KJP206" s="199"/>
      <c r="KJQ206" s="199"/>
      <c r="KJR206" s="199"/>
      <c r="KJS206" s="199"/>
      <c r="KJT206" s="199"/>
      <c r="KJU206" s="199"/>
      <c r="KJV206" s="199"/>
      <c r="KJW206" s="199"/>
      <c r="KJX206" s="199"/>
      <c r="KJY206" s="199"/>
      <c r="KJZ206" s="199"/>
      <c r="KKA206" s="199"/>
      <c r="KKB206" s="199"/>
      <c r="KKC206" s="199"/>
      <c r="KKD206" s="199"/>
      <c r="KKE206" s="199"/>
      <c r="KKF206" s="199"/>
      <c r="KKG206" s="199"/>
      <c r="KKH206" s="199"/>
      <c r="KKI206" s="199"/>
      <c r="KKJ206" s="199"/>
      <c r="KKK206" s="199"/>
      <c r="KKL206" s="199"/>
      <c r="KKM206" s="199"/>
      <c r="KKN206" s="199"/>
      <c r="KKO206" s="199"/>
      <c r="KKP206" s="199"/>
      <c r="KKQ206" s="199"/>
      <c r="KKR206" s="199"/>
      <c r="KKS206" s="199"/>
      <c r="KKT206" s="199"/>
      <c r="KKU206" s="199"/>
      <c r="KKV206" s="199"/>
      <c r="KKW206" s="199"/>
      <c r="KKX206" s="199"/>
      <c r="KKY206" s="199"/>
      <c r="KKZ206" s="199"/>
      <c r="KLA206" s="199"/>
      <c r="KLB206" s="199"/>
      <c r="KLC206" s="199"/>
      <c r="KLD206" s="199"/>
      <c r="KLE206" s="199"/>
      <c r="KLF206" s="199"/>
      <c r="KLG206" s="199"/>
      <c r="KLH206" s="199"/>
      <c r="KLI206" s="199"/>
      <c r="KLJ206" s="199"/>
      <c r="KLK206" s="199"/>
      <c r="KLL206" s="199"/>
      <c r="KLM206" s="199"/>
      <c r="KLN206" s="199"/>
      <c r="KLO206" s="199"/>
      <c r="KLP206" s="199"/>
      <c r="KLQ206" s="199"/>
      <c r="KLR206" s="199"/>
      <c r="KLS206" s="199"/>
      <c r="KLT206" s="199"/>
      <c r="KLU206" s="199"/>
      <c r="KLV206" s="199"/>
      <c r="KLW206" s="199"/>
      <c r="KLX206" s="199"/>
      <c r="KLY206" s="199"/>
      <c r="KLZ206" s="199"/>
      <c r="KMA206" s="199"/>
      <c r="KMB206" s="199"/>
      <c r="KMC206" s="199"/>
      <c r="KMD206" s="199"/>
      <c r="KME206" s="199"/>
      <c r="KMF206" s="199"/>
      <c r="KMG206" s="199"/>
      <c r="KMH206" s="199"/>
      <c r="KMI206" s="199"/>
      <c r="KMJ206" s="199"/>
      <c r="KMK206" s="199"/>
      <c r="KML206" s="199"/>
      <c r="KMM206" s="199"/>
      <c r="KMN206" s="199"/>
      <c r="KMO206" s="199"/>
      <c r="KMP206" s="199"/>
      <c r="KMQ206" s="199"/>
      <c r="KMR206" s="199"/>
      <c r="KMS206" s="199"/>
      <c r="KMT206" s="199"/>
      <c r="KMU206" s="199"/>
      <c r="KMV206" s="199"/>
      <c r="KMW206" s="199"/>
      <c r="KMX206" s="199"/>
      <c r="KMY206" s="199"/>
      <c r="KMZ206" s="199"/>
      <c r="KNA206" s="199"/>
      <c r="KNB206" s="199"/>
      <c r="KNC206" s="199"/>
      <c r="KND206" s="199"/>
      <c r="KNE206" s="199"/>
      <c r="KNF206" s="199"/>
      <c r="KNG206" s="199"/>
      <c r="KNH206" s="199"/>
      <c r="KNI206" s="199"/>
      <c r="KNJ206" s="199"/>
      <c r="KNK206" s="199"/>
      <c r="KNL206" s="199"/>
      <c r="KNM206" s="199"/>
      <c r="KNN206" s="199"/>
      <c r="KNO206" s="199"/>
      <c r="KNP206" s="199"/>
      <c r="KNQ206" s="199"/>
      <c r="KNR206" s="199"/>
      <c r="KNS206" s="199"/>
      <c r="KNT206" s="199"/>
      <c r="KNU206" s="199"/>
      <c r="KNV206" s="199"/>
      <c r="KNW206" s="199"/>
      <c r="KNX206" s="199"/>
      <c r="KNY206" s="199"/>
      <c r="KNZ206" s="199"/>
      <c r="KOA206" s="199"/>
      <c r="KOB206" s="199"/>
      <c r="KOC206" s="199"/>
      <c r="KOD206" s="199"/>
      <c r="KOE206" s="199"/>
      <c r="KOF206" s="199"/>
      <c r="KOG206" s="199"/>
      <c r="KOH206" s="199"/>
      <c r="KOI206" s="199"/>
      <c r="KOJ206" s="199"/>
      <c r="KOK206" s="199"/>
      <c r="KOL206" s="199"/>
      <c r="KOM206" s="199"/>
      <c r="KON206" s="199"/>
      <c r="KOO206" s="199"/>
      <c r="KOP206" s="199"/>
      <c r="KOQ206" s="199"/>
      <c r="KOR206" s="199"/>
      <c r="KOS206" s="199"/>
      <c r="KOT206" s="199"/>
      <c r="KOU206" s="199"/>
      <c r="KOV206" s="199"/>
      <c r="KOW206" s="199"/>
      <c r="KOX206" s="199"/>
      <c r="KOY206" s="199"/>
      <c r="KOZ206" s="199"/>
      <c r="KPA206" s="199"/>
      <c r="KPB206" s="199"/>
      <c r="KPC206" s="199"/>
      <c r="KPD206" s="199"/>
      <c r="KPE206" s="199"/>
      <c r="KPF206" s="199"/>
      <c r="KPG206" s="199"/>
      <c r="KPH206" s="199"/>
      <c r="KPI206" s="199"/>
      <c r="KPJ206" s="199"/>
      <c r="KPK206" s="199"/>
      <c r="KPL206" s="199"/>
      <c r="KPM206" s="199"/>
      <c r="KPN206" s="199"/>
      <c r="KPO206" s="199"/>
      <c r="KPP206" s="199"/>
      <c r="KPQ206" s="199"/>
      <c r="KPR206" s="199"/>
      <c r="KPS206" s="199"/>
      <c r="KPT206" s="199"/>
      <c r="KPU206" s="199"/>
      <c r="KPV206" s="199"/>
      <c r="KPW206" s="199"/>
      <c r="KPX206" s="199"/>
      <c r="KPY206" s="199"/>
      <c r="KPZ206" s="199"/>
      <c r="KQA206" s="199"/>
      <c r="KQB206" s="199"/>
      <c r="KQC206" s="199"/>
      <c r="KQD206" s="199"/>
      <c r="KQE206" s="199"/>
      <c r="KQF206" s="199"/>
      <c r="KQG206" s="199"/>
      <c r="KQH206" s="199"/>
      <c r="KQI206" s="199"/>
      <c r="KQJ206" s="199"/>
      <c r="KQK206" s="199"/>
      <c r="KQL206" s="199"/>
      <c r="KQM206" s="199"/>
      <c r="KQN206" s="199"/>
      <c r="KQO206" s="199"/>
      <c r="KQP206" s="199"/>
      <c r="KQQ206" s="199"/>
      <c r="KQR206" s="199"/>
      <c r="KQS206" s="199"/>
      <c r="KQT206" s="199"/>
      <c r="KQU206" s="199"/>
      <c r="KQV206" s="199"/>
      <c r="KQW206" s="199"/>
      <c r="KQX206" s="199"/>
      <c r="KQY206" s="199"/>
      <c r="KQZ206" s="199"/>
      <c r="KRA206" s="199"/>
      <c r="KRB206" s="199"/>
      <c r="KRC206" s="199"/>
      <c r="KRD206" s="199"/>
      <c r="KRE206" s="199"/>
      <c r="KRF206" s="199"/>
      <c r="KRG206" s="199"/>
      <c r="KRH206" s="199"/>
      <c r="KRI206" s="199"/>
      <c r="KRJ206" s="199"/>
      <c r="KRK206" s="199"/>
      <c r="KRL206" s="199"/>
      <c r="KRM206" s="199"/>
      <c r="KRN206" s="199"/>
      <c r="KRO206" s="199"/>
      <c r="KRP206" s="199"/>
      <c r="KRQ206" s="199"/>
      <c r="KRR206" s="199"/>
      <c r="KRS206" s="199"/>
      <c r="KRT206" s="199"/>
      <c r="KRU206" s="199"/>
      <c r="KRV206" s="199"/>
      <c r="KRW206" s="199"/>
      <c r="KRX206" s="199"/>
      <c r="KRY206" s="199"/>
      <c r="KRZ206" s="199"/>
      <c r="KSA206" s="199"/>
      <c r="KSB206" s="199"/>
      <c r="KSC206" s="199"/>
      <c r="KSD206" s="199"/>
      <c r="KSE206" s="199"/>
      <c r="KSF206" s="199"/>
      <c r="KSG206" s="199"/>
      <c r="KSH206" s="199"/>
      <c r="KSI206" s="199"/>
      <c r="KSJ206" s="199"/>
      <c r="KSK206" s="199"/>
      <c r="KSL206" s="199"/>
      <c r="KSM206" s="199"/>
      <c r="KSN206" s="199"/>
      <c r="KSO206" s="199"/>
      <c r="KSP206" s="199"/>
      <c r="KSQ206" s="199"/>
      <c r="KSR206" s="199"/>
      <c r="KSS206" s="199"/>
      <c r="KST206" s="199"/>
      <c r="KSU206" s="199"/>
      <c r="KSV206" s="199"/>
      <c r="KSW206" s="199"/>
      <c r="KSX206" s="199"/>
      <c r="KSY206" s="199"/>
      <c r="KSZ206" s="199"/>
      <c r="KTA206" s="199"/>
      <c r="KTB206" s="199"/>
      <c r="KTC206" s="199"/>
      <c r="KTD206" s="199"/>
      <c r="KTE206" s="199"/>
      <c r="KTF206" s="199"/>
      <c r="KTG206" s="199"/>
      <c r="KTH206" s="199"/>
      <c r="KTI206" s="199"/>
      <c r="KTJ206" s="199"/>
      <c r="KTK206" s="199"/>
      <c r="KTL206" s="199"/>
      <c r="KTM206" s="199"/>
      <c r="KTN206" s="199"/>
      <c r="KTO206" s="199"/>
      <c r="KTP206" s="199"/>
      <c r="KTQ206" s="199"/>
      <c r="KTR206" s="199"/>
      <c r="KTS206" s="199"/>
      <c r="KTT206" s="199"/>
      <c r="KTU206" s="199"/>
      <c r="KTV206" s="199"/>
      <c r="KTW206" s="199"/>
      <c r="KTX206" s="199"/>
      <c r="KTY206" s="199"/>
      <c r="KTZ206" s="199"/>
      <c r="KUA206" s="199"/>
      <c r="KUB206" s="199"/>
      <c r="KUC206" s="199"/>
      <c r="KUD206" s="199"/>
      <c r="KUE206" s="199"/>
      <c r="KUF206" s="199"/>
      <c r="KUG206" s="199"/>
      <c r="KUH206" s="199"/>
      <c r="KUI206" s="199"/>
      <c r="KUJ206" s="199"/>
      <c r="KUK206" s="199"/>
      <c r="KUL206" s="199"/>
      <c r="KUM206" s="199"/>
      <c r="KUN206" s="199"/>
      <c r="KUO206" s="199"/>
      <c r="KUP206" s="199"/>
      <c r="KUQ206" s="199"/>
      <c r="KUR206" s="199"/>
      <c r="KUS206" s="199"/>
      <c r="KUT206" s="199"/>
      <c r="KUU206" s="199"/>
      <c r="KUV206" s="199"/>
      <c r="KUW206" s="199"/>
      <c r="KUX206" s="199"/>
      <c r="KUY206" s="199"/>
      <c r="KUZ206" s="199"/>
      <c r="KVA206" s="199"/>
      <c r="KVB206" s="199"/>
      <c r="KVC206" s="199"/>
      <c r="KVD206" s="199"/>
      <c r="KVE206" s="199"/>
      <c r="KVF206" s="199"/>
      <c r="KVG206" s="199"/>
      <c r="KVH206" s="199"/>
      <c r="KVI206" s="199"/>
      <c r="KVJ206" s="199"/>
      <c r="KVK206" s="199"/>
      <c r="KVL206" s="199"/>
      <c r="KVM206" s="199"/>
      <c r="KVN206" s="199"/>
      <c r="KVO206" s="199"/>
      <c r="KVP206" s="199"/>
      <c r="KVQ206" s="199"/>
      <c r="KVR206" s="199"/>
      <c r="KVS206" s="199"/>
      <c r="KVT206" s="199"/>
      <c r="KVU206" s="199"/>
      <c r="KVV206" s="199"/>
      <c r="KVW206" s="199"/>
      <c r="KVX206" s="199"/>
      <c r="KVY206" s="199"/>
      <c r="KVZ206" s="199"/>
      <c r="KWA206" s="199"/>
      <c r="KWB206" s="199"/>
      <c r="KWC206" s="199"/>
      <c r="KWD206" s="199"/>
      <c r="KWE206" s="199"/>
      <c r="KWF206" s="199"/>
      <c r="KWG206" s="199"/>
      <c r="KWH206" s="199"/>
      <c r="KWI206" s="199"/>
      <c r="KWJ206" s="199"/>
      <c r="KWK206" s="199"/>
      <c r="KWL206" s="199"/>
      <c r="KWM206" s="199"/>
      <c r="KWN206" s="199"/>
      <c r="KWO206" s="199"/>
      <c r="KWP206" s="199"/>
      <c r="KWQ206" s="199"/>
      <c r="KWR206" s="199"/>
      <c r="KWS206" s="199"/>
      <c r="KWT206" s="199"/>
      <c r="KWU206" s="199"/>
      <c r="KWV206" s="199"/>
      <c r="KWW206" s="199"/>
      <c r="KWX206" s="199"/>
      <c r="KWY206" s="199"/>
      <c r="KWZ206" s="199"/>
      <c r="KXA206" s="199"/>
      <c r="KXB206" s="199"/>
      <c r="KXC206" s="199"/>
      <c r="KXD206" s="199"/>
      <c r="KXE206" s="199"/>
      <c r="KXF206" s="199"/>
      <c r="KXG206" s="199"/>
      <c r="KXH206" s="199"/>
      <c r="KXI206" s="199"/>
      <c r="KXJ206" s="199"/>
      <c r="KXK206" s="199"/>
      <c r="KXL206" s="199"/>
      <c r="KXM206" s="199"/>
      <c r="KXN206" s="199"/>
      <c r="KXO206" s="199"/>
      <c r="KXP206" s="199"/>
      <c r="KXQ206" s="199"/>
      <c r="KXR206" s="199"/>
      <c r="KXS206" s="199"/>
      <c r="KXT206" s="199"/>
      <c r="KXU206" s="199"/>
      <c r="KXV206" s="199"/>
      <c r="KXW206" s="199"/>
      <c r="KXX206" s="199"/>
      <c r="KXY206" s="199"/>
      <c r="KXZ206" s="199"/>
      <c r="KYA206" s="199"/>
      <c r="KYB206" s="199"/>
      <c r="KYC206" s="199"/>
      <c r="KYD206" s="199"/>
      <c r="KYE206" s="199"/>
      <c r="KYF206" s="199"/>
      <c r="KYG206" s="199"/>
      <c r="KYH206" s="199"/>
      <c r="KYI206" s="199"/>
      <c r="KYJ206" s="199"/>
      <c r="KYK206" s="199"/>
      <c r="KYL206" s="199"/>
      <c r="KYM206" s="199"/>
      <c r="KYN206" s="199"/>
      <c r="KYO206" s="199"/>
      <c r="KYP206" s="199"/>
      <c r="KYQ206" s="199"/>
      <c r="KYR206" s="199"/>
      <c r="KYS206" s="199"/>
      <c r="KYT206" s="199"/>
      <c r="KYU206" s="199"/>
      <c r="KYV206" s="199"/>
      <c r="KYW206" s="199"/>
      <c r="KYX206" s="199"/>
      <c r="KYY206" s="199"/>
      <c r="KYZ206" s="199"/>
      <c r="KZA206" s="199"/>
      <c r="KZB206" s="199"/>
      <c r="KZC206" s="199"/>
      <c r="KZD206" s="199"/>
      <c r="KZE206" s="199"/>
      <c r="KZF206" s="199"/>
      <c r="KZG206" s="199"/>
      <c r="KZH206" s="199"/>
      <c r="KZI206" s="199"/>
      <c r="KZJ206" s="199"/>
      <c r="KZK206" s="199"/>
      <c r="KZL206" s="199"/>
      <c r="KZM206" s="199"/>
      <c r="KZN206" s="199"/>
      <c r="KZO206" s="199"/>
      <c r="KZP206" s="199"/>
      <c r="KZQ206" s="199"/>
      <c r="KZR206" s="199"/>
      <c r="KZS206" s="199"/>
      <c r="KZT206" s="199"/>
      <c r="KZU206" s="199"/>
      <c r="KZV206" s="199"/>
      <c r="KZW206" s="199"/>
      <c r="KZX206" s="199"/>
      <c r="KZY206" s="199"/>
      <c r="KZZ206" s="199"/>
      <c r="LAA206" s="199"/>
      <c r="LAB206" s="199"/>
      <c r="LAC206" s="199"/>
      <c r="LAD206" s="199"/>
      <c r="LAE206" s="199"/>
      <c r="LAF206" s="199"/>
      <c r="LAG206" s="199"/>
      <c r="LAH206" s="199"/>
      <c r="LAI206" s="199"/>
      <c r="LAJ206" s="199"/>
      <c r="LAK206" s="199"/>
      <c r="LAL206" s="199"/>
      <c r="LAM206" s="199"/>
      <c r="LAN206" s="199"/>
      <c r="LAO206" s="199"/>
      <c r="LAP206" s="199"/>
      <c r="LAQ206" s="199"/>
      <c r="LAR206" s="199"/>
      <c r="LAS206" s="199"/>
      <c r="LAT206" s="199"/>
      <c r="LAU206" s="199"/>
      <c r="LAV206" s="199"/>
      <c r="LAW206" s="199"/>
      <c r="LAX206" s="199"/>
      <c r="LAY206" s="199"/>
      <c r="LAZ206" s="199"/>
      <c r="LBA206" s="199"/>
      <c r="LBB206" s="199"/>
      <c r="LBC206" s="199"/>
      <c r="LBD206" s="199"/>
      <c r="LBE206" s="199"/>
      <c r="LBF206" s="199"/>
      <c r="LBG206" s="199"/>
      <c r="LBH206" s="199"/>
      <c r="LBI206" s="199"/>
      <c r="LBJ206" s="199"/>
      <c r="LBK206" s="199"/>
      <c r="LBL206" s="199"/>
      <c r="LBM206" s="199"/>
      <c r="LBN206" s="199"/>
      <c r="LBO206" s="199"/>
      <c r="LBP206" s="199"/>
      <c r="LBQ206" s="199"/>
      <c r="LBR206" s="199"/>
      <c r="LBS206" s="199"/>
      <c r="LBT206" s="199"/>
      <c r="LBU206" s="199"/>
      <c r="LBV206" s="199"/>
      <c r="LBW206" s="199"/>
      <c r="LBX206" s="199"/>
      <c r="LBY206" s="199"/>
      <c r="LBZ206" s="199"/>
      <c r="LCA206" s="199"/>
      <c r="LCB206" s="199"/>
      <c r="LCC206" s="199"/>
      <c r="LCD206" s="199"/>
      <c r="LCE206" s="199"/>
      <c r="LCF206" s="199"/>
      <c r="LCG206" s="199"/>
      <c r="LCH206" s="199"/>
      <c r="LCI206" s="199"/>
      <c r="LCJ206" s="199"/>
      <c r="LCK206" s="199"/>
      <c r="LCL206" s="199"/>
      <c r="LCM206" s="199"/>
      <c r="LCN206" s="199"/>
      <c r="LCO206" s="199"/>
      <c r="LCP206" s="199"/>
      <c r="LCQ206" s="199"/>
      <c r="LCR206" s="199"/>
      <c r="LCS206" s="199"/>
      <c r="LCT206" s="199"/>
      <c r="LCU206" s="199"/>
      <c r="LCV206" s="199"/>
      <c r="LCW206" s="199"/>
      <c r="LCX206" s="199"/>
      <c r="LCY206" s="199"/>
      <c r="LCZ206" s="199"/>
      <c r="LDA206" s="199"/>
      <c r="LDB206" s="199"/>
      <c r="LDC206" s="199"/>
      <c r="LDD206" s="199"/>
      <c r="LDE206" s="199"/>
      <c r="LDF206" s="199"/>
      <c r="LDG206" s="199"/>
      <c r="LDH206" s="199"/>
      <c r="LDI206" s="199"/>
      <c r="LDJ206" s="199"/>
      <c r="LDK206" s="199"/>
      <c r="LDL206" s="199"/>
      <c r="LDM206" s="199"/>
      <c r="LDN206" s="199"/>
      <c r="LDO206" s="199"/>
      <c r="LDP206" s="199"/>
      <c r="LDQ206" s="199"/>
      <c r="LDR206" s="199"/>
      <c r="LDS206" s="199"/>
      <c r="LDT206" s="199"/>
      <c r="LDU206" s="199"/>
      <c r="LDV206" s="199"/>
      <c r="LDW206" s="199"/>
      <c r="LDX206" s="199"/>
      <c r="LDY206" s="199"/>
      <c r="LDZ206" s="199"/>
      <c r="LEA206" s="199"/>
      <c r="LEB206" s="199"/>
      <c r="LEC206" s="199"/>
      <c r="LED206" s="199"/>
      <c r="LEE206" s="199"/>
      <c r="LEF206" s="199"/>
      <c r="LEG206" s="199"/>
      <c r="LEH206" s="199"/>
      <c r="LEI206" s="199"/>
      <c r="LEJ206" s="199"/>
      <c r="LEK206" s="199"/>
      <c r="LEL206" s="199"/>
      <c r="LEM206" s="199"/>
      <c r="LEN206" s="199"/>
      <c r="LEO206" s="199"/>
      <c r="LEP206" s="199"/>
      <c r="LEQ206" s="199"/>
      <c r="LER206" s="199"/>
      <c r="LES206" s="199"/>
      <c r="LET206" s="199"/>
      <c r="LEU206" s="199"/>
      <c r="LEV206" s="199"/>
      <c r="LEW206" s="199"/>
      <c r="LEX206" s="199"/>
      <c r="LEY206" s="199"/>
      <c r="LEZ206" s="199"/>
      <c r="LFA206" s="199"/>
      <c r="LFB206" s="199"/>
      <c r="LFC206" s="199"/>
      <c r="LFD206" s="199"/>
      <c r="LFE206" s="199"/>
      <c r="LFF206" s="199"/>
      <c r="LFG206" s="199"/>
      <c r="LFH206" s="199"/>
      <c r="LFI206" s="199"/>
      <c r="LFJ206" s="199"/>
      <c r="LFK206" s="199"/>
      <c r="LFL206" s="199"/>
      <c r="LFM206" s="199"/>
      <c r="LFN206" s="199"/>
      <c r="LFO206" s="199"/>
      <c r="LFP206" s="199"/>
      <c r="LFQ206" s="199"/>
      <c r="LFR206" s="199"/>
      <c r="LFS206" s="199"/>
      <c r="LFT206" s="199"/>
      <c r="LFU206" s="199"/>
      <c r="LFV206" s="199"/>
      <c r="LFW206" s="199"/>
      <c r="LFX206" s="199"/>
      <c r="LFY206" s="199"/>
      <c r="LFZ206" s="199"/>
      <c r="LGA206" s="199"/>
      <c r="LGB206" s="199"/>
      <c r="LGC206" s="199"/>
      <c r="LGD206" s="199"/>
      <c r="LGE206" s="199"/>
      <c r="LGF206" s="199"/>
      <c r="LGG206" s="199"/>
      <c r="LGH206" s="199"/>
      <c r="LGI206" s="199"/>
      <c r="LGJ206" s="199"/>
      <c r="LGK206" s="199"/>
      <c r="LGL206" s="199"/>
      <c r="LGM206" s="199"/>
      <c r="LGN206" s="199"/>
      <c r="LGO206" s="199"/>
      <c r="LGP206" s="199"/>
      <c r="LGQ206" s="199"/>
      <c r="LGR206" s="199"/>
      <c r="LGS206" s="199"/>
      <c r="LGT206" s="199"/>
      <c r="LGU206" s="199"/>
      <c r="LGV206" s="199"/>
      <c r="LGW206" s="199"/>
      <c r="LGX206" s="199"/>
      <c r="LGY206" s="199"/>
      <c r="LGZ206" s="199"/>
      <c r="LHA206" s="199"/>
      <c r="LHB206" s="199"/>
      <c r="LHC206" s="199"/>
      <c r="LHD206" s="199"/>
      <c r="LHE206" s="199"/>
      <c r="LHF206" s="199"/>
      <c r="LHG206" s="199"/>
      <c r="LHH206" s="199"/>
      <c r="LHI206" s="199"/>
      <c r="LHJ206" s="199"/>
      <c r="LHK206" s="199"/>
      <c r="LHL206" s="199"/>
      <c r="LHM206" s="199"/>
      <c r="LHN206" s="199"/>
      <c r="LHO206" s="199"/>
      <c r="LHP206" s="199"/>
      <c r="LHQ206" s="199"/>
      <c r="LHR206" s="199"/>
      <c r="LHS206" s="199"/>
      <c r="LHT206" s="199"/>
      <c r="LHU206" s="199"/>
      <c r="LHV206" s="199"/>
      <c r="LHW206" s="199"/>
      <c r="LHX206" s="199"/>
      <c r="LHY206" s="199"/>
      <c r="LHZ206" s="199"/>
      <c r="LIA206" s="199"/>
      <c r="LIB206" s="199"/>
      <c r="LIC206" s="199"/>
      <c r="LID206" s="199"/>
      <c r="LIE206" s="199"/>
      <c r="LIF206" s="199"/>
      <c r="LIG206" s="199"/>
      <c r="LIH206" s="199"/>
      <c r="LII206" s="199"/>
      <c r="LIJ206" s="199"/>
      <c r="LIK206" s="199"/>
      <c r="LIL206" s="199"/>
      <c r="LIM206" s="199"/>
      <c r="LIN206" s="199"/>
      <c r="LIO206" s="199"/>
      <c r="LIP206" s="199"/>
      <c r="LIQ206" s="199"/>
      <c r="LIR206" s="199"/>
      <c r="LIS206" s="199"/>
      <c r="LIT206" s="199"/>
      <c r="LIU206" s="199"/>
      <c r="LIV206" s="199"/>
      <c r="LIW206" s="199"/>
      <c r="LIX206" s="199"/>
      <c r="LIY206" s="199"/>
      <c r="LIZ206" s="199"/>
      <c r="LJA206" s="199"/>
      <c r="LJB206" s="199"/>
      <c r="LJC206" s="199"/>
      <c r="LJD206" s="199"/>
      <c r="LJE206" s="199"/>
      <c r="LJF206" s="199"/>
      <c r="LJG206" s="199"/>
      <c r="LJH206" s="199"/>
      <c r="LJI206" s="199"/>
      <c r="LJJ206" s="199"/>
      <c r="LJK206" s="199"/>
      <c r="LJL206" s="199"/>
      <c r="LJM206" s="199"/>
      <c r="LJN206" s="199"/>
      <c r="LJO206" s="199"/>
      <c r="LJP206" s="199"/>
      <c r="LJQ206" s="199"/>
      <c r="LJR206" s="199"/>
      <c r="LJS206" s="199"/>
      <c r="LJT206" s="199"/>
      <c r="LJU206" s="199"/>
      <c r="LJV206" s="199"/>
      <c r="LJW206" s="199"/>
      <c r="LJX206" s="199"/>
      <c r="LJY206" s="199"/>
      <c r="LJZ206" s="199"/>
      <c r="LKA206" s="199"/>
      <c r="LKB206" s="199"/>
      <c r="LKC206" s="199"/>
      <c r="LKD206" s="199"/>
      <c r="LKE206" s="199"/>
      <c r="LKF206" s="199"/>
      <c r="LKG206" s="199"/>
      <c r="LKH206" s="199"/>
      <c r="LKI206" s="199"/>
      <c r="LKJ206" s="199"/>
      <c r="LKK206" s="199"/>
      <c r="LKL206" s="199"/>
      <c r="LKM206" s="199"/>
      <c r="LKN206" s="199"/>
      <c r="LKO206" s="199"/>
      <c r="LKP206" s="199"/>
      <c r="LKQ206" s="199"/>
      <c r="LKR206" s="199"/>
      <c r="LKS206" s="199"/>
      <c r="LKT206" s="199"/>
      <c r="LKU206" s="199"/>
      <c r="LKV206" s="199"/>
      <c r="LKW206" s="199"/>
      <c r="LKX206" s="199"/>
      <c r="LKY206" s="199"/>
      <c r="LKZ206" s="199"/>
      <c r="LLA206" s="199"/>
      <c r="LLB206" s="199"/>
      <c r="LLC206" s="199"/>
      <c r="LLD206" s="199"/>
      <c r="LLE206" s="199"/>
      <c r="LLF206" s="199"/>
      <c r="LLG206" s="199"/>
      <c r="LLH206" s="199"/>
      <c r="LLI206" s="199"/>
      <c r="LLJ206" s="199"/>
      <c r="LLK206" s="199"/>
      <c r="LLL206" s="199"/>
      <c r="LLM206" s="199"/>
      <c r="LLN206" s="199"/>
      <c r="LLO206" s="199"/>
      <c r="LLP206" s="199"/>
      <c r="LLQ206" s="199"/>
      <c r="LLR206" s="199"/>
      <c r="LLS206" s="199"/>
      <c r="LLT206" s="199"/>
      <c r="LLU206" s="199"/>
      <c r="LLV206" s="199"/>
      <c r="LLW206" s="199"/>
      <c r="LLX206" s="199"/>
      <c r="LLY206" s="199"/>
      <c r="LLZ206" s="199"/>
      <c r="LMA206" s="199"/>
      <c r="LMB206" s="199"/>
      <c r="LMC206" s="199"/>
      <c r="LMD206" s="199"/>
      <c r="LME206" s="199"/>
      <c r="LMF206" s="199"/>
      <c r="LMG206" s="199"/>
      <c r="LMH206" s="199"/>
      <c r="LMI206" s="199"/>
      <c r="LMJ206" s="199"/>
      <c r="LMK206" s="199"/>
      <c r="LML206" s="199"/>
      <c r="LMM206" s="199"/>
      <c r="LMN206" s="199"/>
      <c r="LMO206" s="199"/>
      <c r="LMP206" s="199"/>
      <c r="LMQ206" s="199"/>
      <c r="LMR206" s="199"/>
      <c r="LMS206" s="199"/>
      <c r="LMT206" s="199"/>
      <c r="LMU206" s="199"/>
      <c r="LMV206" s="199"/>
      <c r="LMW206" s="199"/>
      <c r="LMX206" s="199"/>
      <c r="LMY206" s="199"/>
      <c r="LMZ206" s="199"/>
      <c r="LNA206" s="199"/>
      <c r="LNB206" s="199"/>
      <c r="LNC206" s="199"/>
      <c r="LND206" s="199"/>
      <c r="LNE206" s="199"/>
      <c r="LNF206" s="199"/>
      <c r="LNG206" s="199"/>
      <c r="LNH206" s="199"/>
      <c r="LNI206" s="199"/>
      <c r="LNJ206" s="199"/>
      <c r="LNK206" s="199"/>
      <c r="LNL206" s="199"/>
      <c r="LNM206" s="199"/>
      <c r="LNN206" s="199"/>
      <c r="LNO206" s="199"/>
      <c r="LNP206" s="199"/>
      <c r="LNQ206" s="199"/>
      <c r="LNR206" s="199"/>
      <c r="LNS206" s="199"/>
      <c r="LNT206" s="199"/>
      <c r="LNU206" s="199"/>
      <c r="LNV206" s="199"/>
      <c r="LNW206" s="199"/>
      <c r="LNX206" s="199"/>
      <c r="LNY206" s="199"/>
      <c r="LNZ206" s="199"/>
      <c r="LOA206" s="199"/>
      <c r="LOB206" s="199"/>
      <c r="LOC206" s="199"/>
      <c r="LOD206" s="199"/>
      <c r="LOE206" s="199"/>
      <c r="LOF206" s="199"/>
      <c r="LOG206" s="199"/>
      <c r="LOH206" s="199"/>
      <c r="LOI206" s="199"/>
      <c r="LOJ206" s="199"/>
      <c r="LOK206" s="199"/>
      <c r="LOL206" s="199"/>
      <c r="LOM206" s="199"/>
      <c r="LON206" s="199"/>
      <c r="LOO206" s="199"/>
      <c r="LOP206" s="199"/>
      <c r="LOQ206" s="199"/>
      <c r="LOR206" s="199"/>
      <c r="LOS206" s="199"/>
      <c r="LOT206" s="199"/>
      <c r="LOU206" s="199"/>
      <c r="LOV206" s="199"/>
      <c r="LOW206" s="199"/>
      <c r="LOX206" s="199"/>
      <c r="LOY206" s="199"/>
      <c r="LOZ206" s="199"/>
      <c r="LPA206" s="199"/>
      <c r="LPB206" s="199"/>
      <c r="LPC206" s="199"/>
      <c r="LPD206" s="199"/>
      <c r="LPE206" s="199"/>
      <c r="LPF206" s="199"/>
      <c r="LPG206" s="199"/>
      <c r="LPH206" s="199"/>
      <c r="LPI206" s="199"/>
      <c r="LPJ206" s="199"/>
      <c r="LPK206" s="199"/>
      <c r="LPL206" s="199"/>
      <c r="LPM206" s="199"/>
      <c r="LPN206" s="199"/>
      <c r="LPO206" s="199"/>
      <c r="LPP206" s="199"/>
      <c r="LPQ206" s="199"/>
      <c r="LPR206" s="199"/>
      <c r="LPS206" s="199"/>
      <c r="LPT206" s="199"/>
      <c r="LPU206" s="199"/>
      <c r="LPV206" s="199"/>
      <c r="LPW206" s="199"/>
      <c r="LPX206" s="199"/>
      <c r="LPY206" s="199"/>
      <c r="LPZ206" s="199"/>
      <c r="LQA206" s="199"/>
      <c r="LQB206" s="199"/>
      <c r="LQC206" s="199"/>
      <c r="LQD206" s="199"/>
      <c r="LQE206" s="199"/>
      <c r="LQF206" s="199"/>
      <c r="LQG206" s="199"/>
      <c r="LQH206" s="199"/>
      <c r="LQI206" s="199"/>
      <c r="LQJ206" s="199"/>
      <c r="LQK206" s="199"/>
      <c r="LQL206" s="199"/>
      <c r="LQM206" s="199"/>
      <c r="LQN206" s="199"/>
      <c r="LQO206" s="199"/>
      <c r="LQP206" s="199"/>
      <c r="LQQ206" s="199"/>
      <c r="LQR206" s="199"/>
      <c r="LQS206" s="199"/>
      <c r="LQT206" s="199"/>
      <c r="LQU206" s="199"/>
      <c r="LQV206" s="199"/>
      <c r="LQW206" s="199"/>
      <c r="LQX206" s="199"/>
      <c r="LQY206" s="199"/>
      <c r="LQZ206" s="199"/>
      <c r="LRA206" s="199"/>
      <c r="LRB206" s="199"/>
      <c r="LRC206" s="199"/>
      <c r="LRD206" s="199"/>
      <c r="LRE206" s="199"/>
      <c r="LRF206" s="199"/>
      <c r="LRG206" s="199"/>
      <c r="LRH206" s="199"/>
      <c r="LRI206" s="199"/>
      <c r="LRJ206" s="199"/>
      <c r="LRK206" s="199"/>
      <c r="LRL206" s="199"/>
      <c r="LRM206" s="199"/>
      <c r="LRN206" s="199"/>
      <c r="LRO206" s="199"/>
      <c r="LRP206" s="199"/>
      <c r="LRQ206" s="199"/>
      <c r="LRR206" s="199"/>
      <c r="LRS206" s="199"/>
      <c r="LRT206" s="199"/>
      <c r="LRU206" s="199"/>
      <c r="LRV206" s="199"/>
      <c r="LRW206" s="199"/>
      <c r="LRX206" s="199"/>
      <c r="LRY206" s="199"/>
      <c r="LRZ206" s="199"/>
      <c r="LSA206" s="199"/>
      <c r="LSB206" s="199"/>
      <c r="LSC206" s="199"/>
      <c r="LSD206" s="199"/>
      <c r="LSE206" s="199"/>
      <c r="LSF206" s="199"/>
      <c r="LSG206" s="199"/>
      <c r="LSH206" s="199"/>
      <c r="LSI206" s="199"/>
      <c r="LSJ206" s="199"/>
      <c r="LSK206" s="199"/>
      <c r="LSL206" s="199"/>
      <c r="LSM206" s="199"/>
      <c r="LSN206" s="199"/>
      <c r="LSO206" s="199"/>
      <c r="LSP206" s="199"/>
      <c r="LSQ206" s="199"/>
      <c r="LSR206" s="199"/>
      <c r="LSS206" s="199"/>
      <c r="LST206" s="199"/>
      <c r="LSU206" s="199"/>
      <c r="LSV206" s="199"/>
      <c r="LSW206" s="199"/>
      <c r="LSX206" s="199"/>
      <c r="LSY206" s="199"/>
      <c r="LSZ206" s="199"/>
      <c r="LTA206" s="199"/>
      <c r="LTB206" s="199"/>
      <c r="LTC206" s="199"/>
      <c r="LTD206" s="199"/>
      <c r="LTE206" s="199"/>
      <c r="LTF206" s="199"/>
      <c r="LTG206" s="199"/>
      <c r="LTH206" s="199"/>
      <c r="LTI206" s="199"/>
      <c r="LTJ206" s="199"/>
      <c r="LTK206" s="199"/>
      <c r="LTL206" s="199"/>
      <c r="LTM206" s="199"/>
      <c r="LTN206" s="199"/>
      <c r="LTO206" s="199"/>
      <c r="LTP206" s="199"/>
      <c r="LTQ206" s="199"/>
      <c r="LTR206" s="199"/>
      <c r="LTS206" s="199"/>
      <c r="LTT206" s="199"/>
      <c r="LTU206" s="199"/>
      <c r="LTV206" s="199"/>
      <c r="LTW206" s="199"/>
      <c r="LTX206" s="199"/>
      <c r="LTY206" s="199"/>
      <c r="LTZ206" s="199"/>
      <c r="LUA206" s="199"/>
      <c r="LUB206" s="199"/>
      <c r="LUC206" s="199"/>
      <c r="LUD206" s="199"/>
      <c r="LUE206" s="199"/>
      <c r="LUF206" s="199"/>
      <c r="LUG206" s="199"/>
      <c r="LUH206" s="199"/>
      <c r="LUI206" s="199"/>
      <c r="LUJ206" s="199"/>
      <c r="LUK206" s="199"/>
      <c r="LUL206" s="199"/>
      <c r="LUM206" s="199"/>
      <c r="LUN206" s="199"/>
      <c r="LUO206" s="199"/>
      <c r="LUP206" s="199"/>
      <c r="LUQ206" s="199"/>
      <c r="LUR206" s="199"/>
      <c r="LUS206" s="199"/>
      <c r="LUT206" s="199"/>
      <c r="LUU206" s="199"/>
      <c r="LUV206" s="199"/>
      <c r="LUW206" s="199"/>
      <c r="LUX206" s="199"/>
      <c r="LUY206" s="199"/>
      <c r="LUZ206" s="199"/>
      <c r="LVA206" s="199"/>
      <c r="LVB206" s="199"/>
      <c r="LVC206" s="199"/>
      <c r="LVD206" s="199"/>
      <c r="LVE206" s="199"/>
      <c r="LVF206" s="199"/>
      <c r="LVG206" s="199"/>
      <c r="LVH206" s="199"/>
      <c r="LVI206" s="199"/>
      <c r="LVJ206" s="199"/>
      <c r="LVK206" s="199"/>
      <c r="LVL206" s="199"/>
      <c r="LVM206" s="199"/>
      <c r="LVN206" s="199"/>
      <c r="LVO206" s="199"/>
      <c r="LVP206" s="199"/>
      <c r="LVQ206" s="199"/>
      <c r="LVR206" s="199"/>
      <c r="LVS206" s="199"/>
      <c r="LVT206" s="199"/>
      <c r="LVU206" s="199"/>
      <c r="LVV206" s="199"/>
      <c r="LVW206" s="199"/>
      <c r="LVX206" s="199"/>
      <c r="LVY206" s="199"/>
      <c r="LVZ206" s="199"/>
      <c r="LWA206" s="199"/>
      <c r="LWB206" s="199"/>
      <c r="LWC206" s="199"/>
      <c r="LWD206" s="199"/>
      <c r="LWE206" s="199"/>
      <c r="LWF206" s="199"/>
      <c r="LWG206" s="199"/>
      <c r="LWH206" s="199"/>
      <c r="LWI206" s="199"/>
      <c r="LWJ206" s="199"/>
      <c r="LWK206" s="199"/>
      <c r="LWL206" s="199"/>
      <c r="LWM206" s="199"/>
      <c r="LWN206" s="199"/>
      <c r="LWO206" s="199"/>
      <c r="LWP206" s="199"/>
      <c r="LWQ206" s="199"/>
      <c r="LWR206" s="199"/>
      <c r="LWS206" s="199"/>
      <c r="LWT206" s="199"/>
      <c r="LWU206" s="199"/>
      <c r="LWV206" s="199"/>
      <c r="LWW206" s="199"/>
      <c r="LWX206" s="199"/>
      <c r="LWY206" s="199"/>
      <c r="LWZ206" s="199"/>
      <c r="LXA206" s="199"/>
      <c r="LXB206" s="199"/>
      <c r="LXC206" s="199"/>
      <c r="LXD206" s="199"/>
      <c r="LXE206" s="199"/>
      <c r="LXF206" s="199"/>
      <c r="LXG206" s="199"/>
      <c r="LXH206" s="199"/>
      <c r="LXI206" s="199"/>
      <c r="LXJ206" s="199"/>
      <c r="LXK206" s="199"/>
      <c r="LXL206" s="199"/>
      <c r="LXM206" s="199"/>
      <c r="LXN206" s="199"/>
      <c r="LXO206" s="199"/>
      <c r="LXP206" s="199"/>
      <c r="LXQ206" s="199"/>
      <c r="LXR206" s="199"/>
      <c r="LXS206" s="199"/>
      <c r="LXT206" s="199"/>
      <c r="LXU206" s="199"/>
      <c r="LXV206" s="199"/>
      <c r="LXW206" s="199"/>
      <c r="LXX206" s="199"/>
      <c r="LXY206" s="199"/>
      <c r="LXZ206" s="199"/>
      <c r="LYA206" s="199"/>
      <c r="LYB206" s="199"/>
      <c r="LYC206" s="199"/>
      <c r="LYD206" s="199"/>
      <c r="LYE206" s="199"/>
      <c r="LYF206" s="199"/>
      <c r="LYG206" s="199"/>
      <c r="LYH206" s="199"/>
      <c r="LYI206" s="199"/>
      <c r="LYJ206" s="199"/>
      <c r="LYK206" s="199"/>
      <c r="LYL206" s="199"/>
      <c r="LYM206" s="199"/>
      <c r="LYN206" s="199"/>
      <c r="LYO206" s="199"/>
      <c r="LYP206" s="199"/>
      <c r="LYQ206" s="199"/>
      <c r="LYR206" s="199"/>
      <c r="LYS206" s="199"/>
      <c r="LYT206" s="199"/>
      <c r="LYU206" s="199"/>
      <c r="LYV206" s="199"/>
      <c r="LYW206" s="199"/>
      <c r="LYX206" s="199"/>
      <c r="LYY206" s="199"/>
      <c r="LYZ206" s="199"/>
      <c r="LZA206" s="199"/>
      <c r="LZB206" s="199"/>
      <c r="LZC206" s="199"/>
      <c r="LZD206" s="199"/>
      <c r="LZE206" s="199"/>
      <c r="LZF206" s="199"/>
      <c r="LZG206" s="199"/>
      <c r="LZH206" s="199"/>
      <c r="LZI206" s="199"/>
      <c r="LZJ206" s="199"/>
      <c r="LZK206" s="199"/>
      <c r="LZL206" s="199"/>
      <c r="LZM206" s="199"/>
      <c r="LZN206" s="199"/>
      <c r="LZO206" s="199"/>
      <c r="LZP206" s="199"/>
      <c r="LZQ206" s="199"/>
      <c r="LZR206" s="199"/>
      <c r="LZS206" s="199"/>
      <c r="LZT206" s="199"/>
      <c r="LZU206" s="199"/>
      <c r="LZV206" s="199"/>
      <c r="LZW206" s="199"/>
      <c r="LZX206" s="199"/>
      <c r="LZY206" s="199"/>
      <c r="LZZ206" s="199"/>
      <c r="MAA206" s="199"/>
      <c r="MAB206" s="199"/>
      <c r="MAC206" s="199"/>
      <c r="MAD206" s="199"/>
      <c r="MAE206" s="199"/>
      <c r="MAF206" s="199"/>
      <c r="MAG206" s="199"/>
      <c r="MAH206" s="199"/>
      <c r="MAI206" s="199"/>
      <c r="MAJ206" s="199"/>
      <c r="MAK206" s="199"/>
      <c r="MAL206" s="199"/>
      <c r="MAM206" s="199"/>
      <c r="MAN206" s="199"/>
      <c r="MAO206" s="199"/>
      <c r="MAP206" s="199"/>
      <c r="MAQ206" s="199"/>
      <c r="MAR206" s="199"/>
      <c r="MAS206" s="199"/>
      <c r="MAT206" s="199"/>
      <c r="MAU206" s="199"/>
      <c r="MAV206" s="199"/>
      <c r="MAW206" s="199"/>
      <c r="MAX206" s="199"/>
      <c r="MAY206" s="199"/>
      <c r="MAZ206" s="199"/>
      <c r="MBA206" s="199"/>
      <c r="MBB206" s="199"/>
      <c r="MBC206" s="199"/>
      <c r="MBD206" s="199"/>
      <c r="MBE206" s="199"/>
      <c r="MBF206" s="199"/>
      <c r="MBG206" s="199"/>
      <c r="MBH206" s="199"/>
      <c r="MBI206" s="199"/>
      <c r="MBJ206" s="199"/>
      <c r="MBK206" s="199"/>
      <c r="MBL206" s="199"/>
      <c r="MBM206" s="199"/>
      <c r="MBN206" s="199"/>
      <c r="MBO206" s="199"/>
      <c r="MBP206" s="199"/>
      <c r="MBQ206" s="199"/>
      <c r="MBR206" s="199"/>
      <c r="MBS206" s="199"/>
      <c r="MBT206" s="199"/>
      <c r="MBU206" s="199"/>
      <c r="MBV206" s="199"/>
      <c r="MBW206" s="199"/>
      <c r="MBX206" s="199"/>
      <c r="MBY206" s="199"/>
      <c r="MBZ206" s="199"/>
      <c r="MCA206" s="199"/>
      <c r="MCB206" s="199"/>
      <c r="MCC206" s="199"/>
      <c r="MCD206" s="199"/>
      <c r="MCE206" s="199"/>
      <c r="MCF206" s="199"/>
      <c r="MCG206" s="199"/>
      <c r="MCH206" s="199"/>
      <c r="MCI206" s="199"/>
      <c r="MCJ206" s="199"/>
      <c r="MCK206" s="199"/>
      <c r="MCL206" s="199"/>
      <c r="MCM206" s="199"/>
      <c r="MCN206" s="199"/>
      <c r="MCO206" s="199"/>
      <c r="MCP206" s="199"/>
      <c r="MCQ206" s="199"/>
      <c r="MCR206" s="199"/>
      <c r="MCS206" s="199"/>
      <c r="MCT206" s="199"/>
      <c r="MCU206" s="199"/>
      <c r="MCV206" s="199"/>
      <c r="MCW206" s="199"/>
      <c r="MCX206" s="199"/>
      <c r="MCY206" s="199"/>
      <c r="MCZ206" s="199"/>
      <c r="MDA206" s="199"/>
      <c r="MDB206" s="199"/>
      <c r="MDC206" s="199"/>
      <c r="MDD206" s="199"/>
      <c r="MDE206" s="199"/>
      <c r="MDF206" s="199"/>
      <c r="MDG206" s="199"/>
      <c r="MDH206" s="199"/>
      <c r="MDI206" s="199"/>
      <c r="MDJ206" s="199"/>
      <c r="MDK206" s="199"/>
      <c r="MDL206" s="199"/>
      <c r="MDM206" s="199"/>
      <c r="MDN206" s="199"/>
      <c r="MDO206" s="199"/>
      <c r="MDP206" s="199"/>
      <c r="MDQ206" s="199"/>
      <c r="MDR206" s="199"/>
      <c r="MDS206" s="199"/>
      <c r="MDT206" s="199"/>
      <c r="MDU206" s="199"/>
      <c r="MDV206" s="199"/>
      <c r="MDW206" s="199"/>
      <c r="MDX206" s="199"/>
      <c r="MDY206" s="199"/>
      <c r="MDZ206" s="199"/>
      <c r="MEA206" s="199"/>
      <c r="MEB206" s="199"/>
      <c r="MEC206" s="199"/>
      <c r="MED206" s="199"/>
      <c r="MEE206" s="199"/>
      <c r="MEF206" s="199"/>
      <c r="MEG206" s="199"/>
      <c r="MEH206" s="199"/>
      <c r="MEI206" s="199"/>
      <c r="MEJ206" s="199"/>
      <c r="MEK206" s="199"/>
      <c r="MEL206" s="199"/>
      <c r="MEM206" s="199"/>
      <c r="MEN206" s="199"/>
      <c r="MEO206" s="199"/>
      <c r="MEP206" s="199"/>
      <c r="MEQ206" s="199"/>
      <c r="MER206" s="199"/>
      <c r="MES206" s="199"/>
      <c r="MET206" s="199"/>
      <c r="MEU206" s="199"/>
      <c r="MEV206" s="199"/>
      <c r="MEW206" s="199"/>
      <c r="MEX206" s="199"/>
      <c r="MEY206" s="199"/>
      <c r="MEZ206" s="199"/>
      <c r="MFA206" s="199"/>
      <c r="MFB206" s="199"/>
      <c r="MFC206" s="199"/>
      <c r="MFD206" s="199"/>
      <c r="MFE206" s="199"/>
      <c r="MFF206" s="199"/>
      <c r="MFG206" s="199"/>
      <c r="MFH206" s="199"/>
      <c r="MFI206" s="199"/>
      <c r="MFJ206" s="199"/>
      <c r="MFK206" s="199"/>
      <c r="MFL206" s="199"/>
      <c r="MFM206" s="199"/>
      <c r="MFN206" s="199"/>
      <c r="MFO206" s="199"/>
      <c r="MFP206" s="199"/>
      <c r="MFQ206" s="199"/>
      <c r="MFR206" s="199"/>
      <c r="MFS206" s="199"/>
      <c r="MFT206" s="199"/>
      <c r="MFU206" s="199"/>
      <c r="MFV206" s="199"/>
      <c r="MFW206" s="199"/>
      <c r="MFX206" s="199"/>
      <c r="MFY206" s="199"/>
      <c r="MFZ206" s="199"/>
      <c r="MGA206" s="199"/>
      <c r="MGB206" s="199"/>
      <c r="MGC206" s="199"/>
      <c r="MGD206" s="199"/>
      <c r="MGE206" s="199"/>
      <c r="MGF206" s="199"/>
      <c r="MGG206" s="199"/>
      <c r="MGH206" s="199"/>
      <c r="MGI206" s="199"/>
      <c r="MGJ206" s="199"/>
      <c r="MGK206" s="199"/>
      <c r="MGL206" s="199"/>
      <c r="MGM206" s="199"/>
      <c r="MGN206" s="199"/>
      <c r="MGO206" s="199"/>
      <c r="MGP206" s="199"/>
      <c r="MGQ206" s="199"/>
      <c r="MGR206" s="199"/>
      <c r="MGS206" s="199"/>
      <c r="MGT206" s="199"/>
      <c r="MGU206" s="199"/>
      <c r="MGV206" s="199"/>
      <c r="MGW206" s="199"/>
      <c r="MGX206" s="199"/>
      <c r="MGY206" s="199"/>
      <c r="MGZ206" s="199"/>
      <c r="MHA206" s="199"/>
      <c r="MHB206" s="199"/>
      <c r="MHC206" s="199"/>
      <c r="MHD206" s="199"/>
      <c r="MHE206" s="199"/>
      <c r="MHF206" s="199"/>
      <c r="MHG206" s="199"/>
      <c r="MHH206" s="199"/>
      <c r="MHI206" s="199"/>
      <c r="MHJ206" s="199"/>
      <c r="MHK206" s="199"/>
      <c r="MHL206" s="199"/>
      <c r="MHM206" s="199"/>
      <c r="MHN206" s="199"/>
      <c r="MHO206" s="199"/>
      <c r="MHP206" s="199"/>
      <c r="MHQ206" s="199"/>
      <c r="MHR206" s="199"/>
      <c r="MHS206" s="199"/>
      <c r="MHT206" s="199"/>
      <c r="MHU206" s="199"/>
      <c r="MHV206" s="199"/>
      <c r="MHW206" s="199"/>
      <c r="MHX206" s="199"/>
      <c r="MHY206" s="199"/>
      <c r="MHZ206" s="199"/>
      <c r="MIA206" s="199"/>
      <c r="MIB206" s="199"/>
      <c r="MIC206" s="199"/>
      <c r="MID206" s="199"/>
      <c r="MIE206" s="199"/>
      <c r="MIF206" s="199"/>
      <c r="MIG206" s="199"/>
      <c r="MIH206" s="199"/>
      <c r="MII206" s="199"/>
      <c r="MIJ206" s="199"/>
      <c r="MIK206" s="199"/>
      <c r="MIL206" s="199"/>
      <c r="MIM206" s="199"/>
      <c r="MIN206" s="199"/>
      <c r="MIO206" s="199"/>
      <c r="MIP206" s="199"/>
      <c r="MIQ206" s="199"/>
      <c r="MIR206" s="199"/>
      <c r="MIS206" s="199"/>
      <c r="MIT206" s="199"/>
      <c r="MIU206" s="199"/>
      <c r="MIV206" s="199"/>
      <c r="MIW206" s="199"/>
      <c r="MIX206" s="199"/>
      <c r="MIY206" s="199"/>
      <c r="MIZ206" s="199"/>
      <c r="MJA206" s="199"/>
      <c r="MJB206" s="199"/>
      <c r="MJC206" s="199"/>
      <c r="MJD206" s="199"/>
      <c r="MJE206" s="199"/>
      <c r="MJF206" s="199"/>
      <c r="MJG206" s="199"/>
      <c r="MJH206" s="199"/>
      <c r="MJI206" s="199"/>
      <c r="MJJ206" s="199"/>
      <c r="MJK206" s="199"/>
      <c r="MJL206" s="199"/>
      <c r="MJM206" s="199"/>
      <c r="MJN206" s="199"/>
      <c r="MJO206" s="199"/>
      <c r="MJP206" s="199"/>
      <c r="MJQ206" s="199"/>
      <c r="MJR206" s="199"/>
      <c r="MJS206" s="199"/>
      <c r="MJT206" s="199"/>
      <c r="MJU206" s="199"/>
      <c r="MJV206" s="199"/>
      <c r="MJW206" s="199"/>
      <c r="MJX206" s="199"/>
      <c r="MJY206" s="199"/>
      <c r="MJZ206" s="199"/>
      <c r="MKA206" s="199"/>
      <c r="MKB206" s="199"/>
      <c r="MKC206" s="199"/>
      <c r="MKD206" s="199"/>
      <c r="MKE206" s="199"/>
      <c r="MKF206" s="199"/>
      <c r="MKG206" s="199"/>
      <c r="MKH206" s="199"/>
      <c r="MKI206" s="199"/>
      <c r="MKJ206" s="199"/>
      <c r="MKK206" s="199"/>
      <c r="MKL206" s="199"/>
      <c r="MKM206" s="199"/>
      <c r="MKN206" s="199"/>
      <c r="MKO206" s="199"/>
      <c r="MKP206" s="199"/>
      <c r="MKQ206" s="199"/>
      <c r="MKR206" s="199"/>
      <c r="MKS206" s="199"/>
      <c r="MKT206" s="199"/>
      <c r="MKU206" s="199"/>
      <c r="MKV206" s="199"/>
      <c r="MKW206" s="199"/>
      <c r="MKX206" s="199"/>
      <c r="MKY206" s="199"/>
      <c r="MKZ206" s="199"/>
      <c r="MLA206" s="199"/>
      <c r="MLB206" s="199"/>
      <c r="MLC206" s="199"/>
      <c r="MLD206" s="199"/>
      <c r="MLE206" s="199"/>
      <c r="MLF206" s="199"/>
      <c r="MLG206" s="199"/>
      <c r="MLH206" s="199"/>
      <c r="MLI206" s="199"/>
      <c r="MLJ206" s="199"/>
      <c r="MLK206" s="199"/>
      <c r="MLL206" s="199"/>
      <c r="MLM206" s="199"/>
      <c r="MLN206" s="199"/>
      <c r="MLO206" s="199"/>
      <c r="MLP206" s="199"/>
      <c r="MLQ206" s="199"/>
      <c r="MLR206" s="199"/>
      <c r="MLS206" s="199"/>
      <c r="MLT206" s="199"/>
      <c r="MLU206" s="199"/>
      <c r="MLV206" s="199"/>
      <c r="MLW206" s="199"/>
      <c r="MLX206" s="199"/>
      <c r="MLY206" s="199"/>
      <c r="MLZ206" s="199"/>
      <c r="MMA206" s="199"/>
      <c r="MMB206" s="199"/>
      <c r="MMC206" s="199"/>
      <c r="MMD206" s="199"/>
      <c r="MME206" s="199"/>
      <c r="MMF206" s="199"/>
      <c r="MMG206" s="199"/>
      <c r="MMH206" s="199"/>
      <c r="MMI206" s="199"/>
      <c r="MMJ206" s="199"/>
      <c r="MMK206" s="199"/>
      <c r="MML206" s="199"/>
      <c r="MMM206" s="199"/>
      <c r="MMN206" s="199"/>
      <c r="MMO206" s="199"/>
      <c r="MMP206" s="199"/>
      <c r="MMQ206" s="199"/>
      <c r="MMR206" s="199"/>
      <c r="MMS206" s="199"/>
      <c r="MMT206" s="199"/>
      <c r="MMU206" s="199"/>
      <c r="MMV206" s="199"/>
      <c r="MMW206" s="199"/>
      <c r="MMX206" s="199"/>
      <c r="MMY206" s="199"/>
      <c r="MMZ206" s="199"/>
      <c r="MNA206" s="199"/>
      <c r="MNB206" s="199"/>
      <c r="MNC206" s="199"/>
      <c r="MND206" s="199"/>
      <c r="MNE206" s="199"/>
      <c r="MNF206" s="199"/>
      <c r="MNG206" s="199"/>
      <c r="MNH206" s="199"/>
      <c r="MNI206" s="199"/>
      <c r="MNJ206" s="199"/>
      <c r="MNK206" s="199"/>
      <c r="MNL206" s="199"/>
      <c r="MNM206" s="199"/>
      <c r="MNN206" s="199"/>
      <c r="MNO206" s="199"/>
      <c r="MNP206" s="199"/>
      <c r="MNQ206" s="199"/>
      <c r="MNR206" s="199"/>
      <c r="MNS206" s="199"/>
      <c r="MNT206" s="199"/>
      <c r="MNU206" s="199"/>
      <c r="MNV206" s="199"/>
      <c r="MNW206" s="199"/>
      <c r="MNX206" s="199"/>
      <c r="MNY206" s="199"/>
      <c r="MNZ206" s="199"/>
      <c r="MOA206" s="199"/>
      <c r="MOB206" s="199"/>
      <c r="MOC206" s="199"/>
      <c r="MOD206" s="199"/>
      <c r="MOE206" s="199"/>
      <c r="MOF206" s="199"/>
      <c r="MOG206" s="199"/>
      <c r="MOH206" s="199"/>
      <c r="MOI206" s="199"/>
      <c r="MOJ206" s="199"/>
      <c r="MOK206" s="199"/>
      <c r="MOL206" s="199"/>
      <c r="MOM206" s="199"/>
      <c r="MON206" s="199"/>
      <c r="MOO206" s="199"/>
      <c r="MOP206" s="199"/>
      <c r="MOQ206" s="199"/>
      <c r="MOR206" s="199"/>
      <c r="MOS206" s="199"/>
      <c r="MOT206" s="199"/>
      <c r="MOU206" s="199"/>
      <c r="MOV206" s="199"/>
      <c r="MOW206" s="199"/>
      <c r="MOX206" s="199"/>
      <c r="MOY206" s="199"/>
      <c r="MOZ206" s="199"/>
      <c r="MPA206" s="199"/>
      <c r="MPB206" s="199"/>
      <c r="MPC206" s="199"/>
      <c r="MPD206" s="199"/>
      <c r="MPE206" s="199"/>
      <c r="MPF206" s="199"/>
      <c r="MPG206" s="199"/>
      <c r="MPH206" s="199"/>
      <c r="MPI206" s="199"/>
      <c r="MPJ206" s="199"/>
      <c r="MPK206" s="199"/>
      <c r="MPL206" s="199"/>
      <c r="MPM206" s="199"/>
      <c r="MPN206" s="199"/>
      <c r="MPO206" s="199"/>
      <c r="MPP206" s="199"/>
      <c r="MPQ206" s="199"/>
      <c r="MPR206" s="199"/>
      <c r="MPS206" s="199"/>
      <c r="MPT206" s="199"/>
      <c r="MPU206" s="199"/>
      <c r="MPV206" s="199"/>
      <c r="MPW206" s="199"/>
      <c r="MPX206" s="199"/>
      <c r="MPY206" s="199"/>
      <c r="MPZ206" s="199"/>
      <c r="MQA206" s="199"/>
      <c r="MQB206" s="199"/>
      <c r="MQC206" s="199"/>
      <c r="MQD206" s="199"/>
      <c r="MQE206" s="199"/>
      <c r="MQF206" s="199"/>
      <c r="MQG206" s="199"/>
      <c r="MQH206" s="199"/>
      <c r="MQI206" s="199"/>
      <c r="MQJ206" s="199"/>
      <c r="MQK206" s="199"/>
      <c r="MQL206" s="199"/>
      <c r="MQM206" s="199"/>
      <c r="MQN206" s="199"/>
      <c r="MQO206" s="199"/>
      <c r="MQP206" s="199"/>
      <c r="MQQ206" s="199"/>
      <c r="MQR206" s="199"/>
      <c r="MQS206" s="199"/>
      <c r="MQT206" s="199"/>
      <c r="MQU206" s="199"/>
      <c r="MQV206" s="199"/>
      <c r="MQW206" s="199"/>
      <c r="MQX206" s="199"/>
      <c r="MQY206" s="199"/>
      <c r="MQZ206" s="199"/>
      <c r="MRA206" s="199"/>
      <c r="MRB206" s="199"/>
      <c r="MRC206" s="199"/>
      <c r="MRD206" s="199"/>
      <c r="MRE206" s="199"/>
      <c r="MRF206" s="199"/>
      <c r="MRG206" s="199"/>
      <c r="MRH206" s="199"/>
      <c r="MRI206" s="199"/>
      <c r="MRJ206" s="199"/>
      <c r="MRK206" s="199"/>
      <c r="MRL206" s="199"/>
      <c r="MRM206" s="199"/>
      <c r="MRN206" s="199"/>
      <c r="MRO206" s="199"/>
      <c r="MRP206" s="199"/>
      <c r="MRQ206" s="199"/>
      <c r="MRR206" s="199"/>
      <c r="MRS206" s="199"/>
      <c r="MRT206" s="199"/>
      <c r="MRU206" s="199"/>
      <c r="MRV206" s="199"/>
      <c r="MRW206" s="199"/>
      <c r="MRX206" s="199"/>
      <c r="MRY206" s="199"/>
      <c r="MRZ206" s="199"/>
      <c r="MSA206" s="199"/>
      <c r="MSB206" s="199"/>
      <c r="MSC206" s="199"/>
      <c r="MSD206" s="199"/>
      <c r="MSE206" s="199"/>
      <c r="MSF206" s="199"/>
      <c r="MSG206" s="199"/>
      <c r="MSH206" s="199"/>
      <c r="MSI206" s="199"/>
      <c r="MSJ206" s="199"/>
      <c r="MSK206" s="199"/>
      <c r="MSL206" s="199"/>
      <c r="MSM206" s="199"/>
      <c r="MSN206" s="199"/>
      <c r="MSO206" s="199"/>
      <c r="MSP206" s="199"/>
      <c r="MSQ206" s="199"/>
      <c r="MSR206" s="199"/>
      <c r="MSS206" s="199"/>
      <c r="MST206" s="199"/>
      <c r="MSU206" s="199"/>
      <c r="MSV206" s="199"/>
      <c r="MSW206" s="199"/>
      <c r="MSX206" s="199"/>
      <c r="MSY206" s="199"/>
      <c r="MSZ206" s="199"/>
      <c r="MTA206" s="199"/>
      <c r="MTB206" s="199"/>
      <c r="MTC206" s="199"/>
      <c r="MTD206" s="199"/>
      <c r="MTE206" s="199"/>
      <c r="MTF206" s="199"/>
      <c r="MTG206" s="199"/>
      <c r="MTH206" s="199"/>
      <c r="MTI206" s="199"/>
      <c r="MTJ206" s="199"/>
      <c r="MTK206" s="199"/>
      <c r="MTL206" s="199"/>
      <c r="MTM206" s="199"/>
      <c r="MTN206" s="199"/>
      <c r="MTO206" s="199"/>
      <c r="MTP206" s="199"/>
      <c r="MTQ206" s="199"/>
      <c r="MTR206" s="199"/>
      <c r="MTS206" s="199"/>
      <c r="MTT206" s="199"/>
      <c r="MTU206" s="199"/>
      <c r="MTV206" s="199"/>
      <c r="MTW206" s="199"/>
      <c r="MTX206" s="199"/>
      <c r="MTY206" s="199"/>
      <c r="MTZ206" s="199"/>
      <c r="MUA206" s="199"/>
      <c r="MUB206" s="199"/>
      <c r="MUC206" s="199"/>
      <c r="MUD206" s="199"/>
      <c r="MUE206" s="199"/>
      <c r="MUF206" s="199"/>
      <c r="MUG206" s="199"/>
      <c r="MUH206" s="199"/>
      <c r="MUI206" s="199"/>
      <c r="MUJ206" s="199"/>
      <c r="MUK206" s="199"/>
      <c r="MUL206" s="199"/>
      <c r="MUM206" s="199"/>
      <c r="MUN206" s="199"/>
      <c r="MUO206" s="199"/>
      <c r="MUP206" s="199"/>
      <c r="MUQ206" s="199"/>
      <c r="MUR206" s="199"/>
      <c r="MUS206" s="199"/>
      <c r="MUT206" s="199"/>
      <c r="MUU206" s="199"/>
      <c r="MUV206" s="199"/>
      <c r="MUW206" s="199"/>
      <c r="MUX206" s="199"/>
      <c r="MUY206" s="199"/>
      <c r="MUZ206" s="199"/>
      <c r="MVA206" s="199"/>
      <c r="MVB206" s="199"/>
      <c r="MVC206" s="199"/>
      <c r="MVD206" s="199"/>
      <c r="MVE206" s="199"/>
      <c r="MVF206" s="199"/>
      <c r="MVG206" s="199"/>
      <c r="MVH206" s="199"/>
      <c r="MVI206" s="199"/>
      <c r="MVJ206" s="199"/>
      <c r="MVK206" s="199"/>
      <c r="MVL206" s="199"/>
      <c r="MVM206" s="199"/>
      <c r="MVN206" s="199"/>
      <c r="MVO206" s="199"/>
      <c r="MVP206" s="199"/>
      <c r="MVQ206" s="199"/>
      <c r="MVR206" s="199"/>
      <c r="MVS206" s="199"/>
      <c r="MVT206" s="199"/>
      <c r="MVU206" s="199"/>
      <c r="MVV206" s="199"/>
      <c r="MVW206" s="199"/>
      <c r="MVX206" s="199"/>
      <c r="MVY206" s="199"/>
      <c r="MVZ206" s="199"/>
      <c r="MWA206" s="199"/>
      <c r="MWB206" s="199"/>
      <c r="MWC206" s="199"/>
      <c r="MWD206" s="199"/>
      <c r="MWE206" s="199"/>
      <c r="MWF206" s="199"/>
      <c r="MWG206" s="199"/>
      <c r="MWH206" s="199"/>
      <c r="MWI206" s="199"/>
      <c r="MWJ206" s="199"/>
      <c r="MWK206" s="199"/>
      <c r="MWL206" s="199"/>
      <c r="MWM206" s="199"/>
      <c r="MWN206" s="199"/>
      <c r="MWO206" s="199"/>
      <c r="MWP206" s="199"/>
      <c r="MWQ206" s="199"/>
      <c r="MWR206" s="199"/>
      <c r="MWS206" s="199"/>
      <c r="MWT206" s="199"/>
      <c r="MWU206" s="199"/>
      <c r="MWV206" s="199"/>
      <c r="MWW206" s="199"/>
      <c r="MWX206" s="199"/>
      <c r="MWY206" s="199"/>
      <c r="MWZ206" s="199"/>
      <c r="MXA206" s="199"/>
      <c r="MXB206" s="199"/>
      <c r="MXC206" s="199"/>
      <c r="MXD206" s="199"/>
      <c r="MXE206" s="199"/>
      <c r="MXF206" s="199"/>
      <c r="MXG206" s="199"/>
      <c r="MXH206" s="199"/>
      <c r="MXI206" s="199"/>
      <c r="MXJ206" s="199"/>
      <c r="MXK206" s="199"/>
      <c r="MXL206" s="199"/>
      <c r="MXM206" s="199"/>
      <c r="MXN206" s="199"/>
      <c r="MXO206" s="199"/>
      <c r="MXP206" s="199"/>
      <c r="MXQ206" s="199"/>
      <c r="MXR206" s="199"/>
      <c r="MXS206" s="199"/>
      <c r="MXT206" s="199"/>
      <c r="MXU206" s="199"/>
      <c r="MXV206" s="199"/>
      <c r="MXW206" s="199"/>
      <c r="MXX206" s="199"/>
      <c r="MXY206" s="199"/>
      <c r="MXZ206" s="199"/>
      <c r="MYA206" s="199"/>
      <c r="MYB206" s="199"/>
      <c r="MYC206" s="199"/>
      <c r="MYD206" s="199"/>
      <c r="MYE206" s="199"/>
      <c r="MYF206" s="199"/>
      <c r="MYG206" s="199"/>
      <c r="MYH206" s="199"/>
      <c r="MYI206" s="199"/>
      <c r="MYJ206" s="199"/>
      <c r="MYK206" s="199"/>
      <c r="MYL206" s="199"/>
      <c r="MYM206" s="199"/>
      <c r="MYN206" s="199"/>
      <c r="MYO206" s="199"/>
      <c r="MYP206" s="199"/>
      <c r="MYQ206" s="199"/>
      <c r="MYR206" s="199"/>
      <c r="MYS206" s="199"/>
      <c r="MYT206" s="199"/>
      <c r="MYU206" s="199"/>
      <c r="MYV206" s="199"/>
      <c r="MYW206" s="199"/>
      <c r="MYX206" s="199"/>
      <c r="MYY206" s="199"/>
      <c r="MYZ206" s="199"/>
      <c r="MZA206" s="199"/>
      <c r="MZB206" s="199"/>
      <c r="MZC206" s="199"/>
      <c r="MZD206" s="199"/>
      <c r="MZE206" s="199"/>
      <c r="MZF206" s="199"/>
      <c r="MZG206" s="199"/>
      <c r="MZH206" s="199"/>
      <c r="MZI206" s="199"/>
      <c r="MZJ206" s="199"/>
      <c r="MZK206" s="199"/>
      <c r="MZL206" s="199"/>
      <c r="MZM206" s="199"/>
      <c r="MZN206" s="199"/>
      <c r="MZO206" s="199"/>
      <c r="MZP206" s="199"/>
      <c r="MZQ206" s="199"/>
      <c r="MZR206" s="199"/>
      <c r="MZS206" s="199"/>
      <c r="MZT206" s="199"/>
      <c r="MZU206" s="199"/>
      <c r="MZV206" s="199"/>
      <c r="MZW206" s="199"/>
      <c r="MZX206" s="199"/>
      <c r="MZY206" s="199"/>
      <c r="MZZ206" s="199"/>
      <c r="NAA206" s="199"/>
      <c r="NAB206" s="199"/>
      <c r="NAC206" s="199"/>
      <c r="NAD206" s="199"/>
      <c r="NAE206" s="199"/>
      <c r="NAF206" s="199"/>
      <c r="NAG206" s="199"/>
      <c r="NAH206" s="199"/>
      <c r="NAI206" s="199"/>
      <c r="NAJ206" s="199"/>
      <c r="NAK206" s="199"/>
      <c r="NAL206" s="199"/>
      <c r="NAM206" s="199"/>
      <c r="NAN206" s="199"/>
      <c r="NAO206" s="199"/>
      <c r="NAP206" s="199"/>
      <c r="NAQ206" s="199"/>
      <c r="NAR206" s="199"/>
      <c r="NAS206" s="199"/>
      <c r="NAT206" s="199"/>
      <c r="NAU206" s="199"/>
      <c r="NAV206" s="199"/>
      <c r="NAW206" s="199"/>
      <c r="NAX206" s="199"/>
      <c r="NAY206" s="199"/>
      <c r="NAZ206" s="199"/>
      <c r="NBA206" s="199"/>
      <c r="NBB206" s="199"/>
      <c r="NBC206" s="199"/>
      <c r="NBD206" s="199"/>
      <c r="NBE206" s="199"/>
      <c r="NBF206" s="199"/>
      <c r="NBG206" s="199"/>
      <c r="NBH206" s="199"/>
      <c r="NBI206" s="199"/>
      <c r="NBJ206" s="199"/>
      <c r="NBK206" s="199"/>
      <c r="NBL206" s="199"/>
      <c r="NBM206" s="199"/>
      <c r="NBN206" s="199"/>
      <c r="NBO206" s="199"/>
      <c r="NBP206" s="199"/>
      <c r="NBQ206" s="199"/>
      <c r="NBR206" s="199"/>
      <c r="NBS206" s="199"/>
      <c r="NBT206" s="199"/>
      <c r="NBU206" s="199"/>
      <c r="NBV206" s="199"/>
      <c r="NBW206" s="199"/>
      <c r="NBX206" s="199"/>
      <c r="NBY206" s="199"/>
      <c r="NBZ206" s="199"/>
      <c r="NCA206" s="199"/>
      <c r="NCB206" s="199"/>
      <c r="NCC206" s="199"/>
      <c r="NCD206" s="199"/>
      <c r="NCE206" s="199"/>
      <c r="NCF206" s="199"/>
      <c r="NCG206" s="199"/>
      <c r="NCH206" s="199"/>
      <c r="NCI206" s="199"/>
      <c r="NCJ206" s="199"/>
      <c r="NCK206" s="199"/>
      <c r="NCL206" s="199"/>
      <c r="NCM206" s="199"/>
      <c r="NCN206" s="199"/>
      <c r="NCO206" s="199"/>
      <c r="NCP206" s="199"/>
      <c r="NCQ206" s="199"/>
      <c r="NCR206" s="199"/>
      <c r="NCS206" s="199"/>
      <c r="NCT206" s="199"/>
      <c r="NCU206" s="199"/>
      <c r="NCV206" s="199"/>
      <c r="NCW206" s="199"/>
      <c r="NCX206" s="199"/>
      <c r="NCY206" s="199"/>
      <c r="NCZ206" s="199"/>
      <c r="NDA206" s="199"/>
      <c r="NDB206" s="199"/>
      <c r="NDC206" s="199"/>
      <c r="NDD206" s="199"/>
      <c r="NDE206" s="199"/>
      <c r="NDF206" s="199"/>
      <c r="NDG206" s="199"/>
      <c r="NDH206" s="199"/>
      <c r="NDI206" s="199"/>
      <c r="NDJ206" s="199"/>
      <c r="NDK206" s="199"/>
      <c r="NDL206" s="199"/>
      <c r="NDM206" s="199"/>
      <c r="NDN206" s="199"/>
      <c r="NDO206" s="199"/>
      <c r="NDP206" s="199"/>
      <c r="NDQ206" s="199"/>
      <c r="NDR206" s="199"/>
      <c r="NDS206" s="199"/>
      <c r="NDT206" s="199"/>
      <c r="NDU206" s="199"/>
      <c r="NDV206" s="199"/>
      <c r="NDW206" s="199"/>
      <c r="NDX206" s="199"/>
      <c r="NDY206" s="199"/>
      <c r="NDZ206" s="199"/>
      <c r="NEA206" s="199"/>
      <c r="NEB206" s="199"/>
      <c r="NEC206" s="199"/>
      <c r="NED206" s="199"/>
      <c r="NEE206" s="199"/>
      <c r="NEF206" s="199"/>
      <c r="NEG206" s="199"/>
      <c r="NEH206" s="199"/>
      <c r="NEI206" s="199"/>
      <c r="NEJ206" s="199"/>
      <c r="NEK206" s="199"/>
      <c r="NEL206" s="199"/>
      <c r="NEM206" s="199"/>
      <c r="NEN206" s="199"/>
      <c r="NEO206" s="199"/>
      <c r="NEP206" s="199"/>
      <c r="NEQ206" s="199"/>
      <c r="NER206" s="199"/>
      <c r="NES206" s="199"/>
      <c r="NET206" s="199"/>
      <c r="NEU206" s="199"/>
      <c r="NEV206" s="199"/>
      <c r="NEW206" s="199"/>
      <c r="NEX206" s="199"/>
      <c r="NEY206" s="199"/>
      <c r="NEZ206" s="199"/>
      <c r="NFA206" s="199"/>
      <c r="NFB206" s="199"/>
      <c r="NFC206" s="199"/>
      <c r="NFD206" s="199"/>
      <c r="NFE206" s="199"/>
      <c r="NFF206" s="199"/>
      <c r="NFG206" s="199"/>
      <c r="NFH206" s="199"/>
      <c r="NFI206" s="199"/>
      <c r="NFJ206" s="199"/>
      <c r="NFK206" s="199"/>
      <c r="NFL206" s="199"/>
      <c r="NFM206" s="199"/>
      <c r="NFN206" s="199"/>
      <c r="NFO206" s="199"/>
      <c r="NFP206" s="199"/>
      <c r="NFQ206" s="199"/>
      <c r="NFR206" s="199"/>
      <c r="NFS206" s="199"/>
      <c r="NFT206" s="199"/>
      <c r="NFU206" s="199"/>
      <c r="NFV206" s="199"/>
      <c r="NFW206" s="199"/>
      <c r="NFX206" s="199"/>
      <c r="NFY206" s="199"/>
      <c r="NFZ206" s="199"/>
      <c r="NGA206" s="199"/>
      <c r="NGB206" s="199"/>
      <c r="NGC206" s="199"/>
      <c r="NGD206" s="199"/>
      <c r="NGE206" s="199"/>
      <c r="NGF206" s="199"/>
      <c r="NGG206" s="199"/>
      <c r="NGH206" s="199"/>
      <c r="NGI206" s="199"/>
      <c r="NGJ206" s="199"/>
      <c r="NGK206" s="199"/>
      <c r="NGL206" s="199"/>
      <c r="NGM206" s="199"/>
      <c r="NGN206" s="199"/>
      <c r="NGO206" s="199"/>
      <c r="NGP206" s="199"/>
      <c r="NGQ206" s="199"/>
      <c r="NGR206" s="199"/>
      <c r="NGS206" s="199"/>
      <c r="NGT206" s="199"/>
      <c r="NGU206" s="199"/>
      <c r="NGV206" s="199"/>
      <c r="NGW206" s="199"/>
      <c r="NGX206" s="199"/>
      <c r="NGY206" s="199"/>
      <c r="NGZ206" s="199"/>
      <c r="NHA206" s="199"/>
      <c r="NHB206" s="199"/>
      <c r="NHC206" s="199"/>
      <c r="NHD206" s="199"/>
      <c r="NHE206" s="199"/>
      <c r="NHF206" s="199"/>
      <c r="NHG206" s="199"/>
      <c r="NHH206" s="199"/>
      <c r="NHI206" s="199"/>
      <c r="NHJ206" s="199"/>
      <c r="NHK206" s="199"/>
      <c r="NHL206" s="199"/>
      <c r="NHM206" s="199"/>
      <c r="NHN206" s="199"/>
      <c r="NHO206" s="199"/>
      <c r="NHP206" s="199"/>
      <c r="NHQ206" s="199"/>
      <c r="NHR206" s="199"/>
      <c r="NHS206" s="199"/>
      <c r="NHT206" s="199"/>
      <c r="NHU206" s="199"/>
      <c r="NHV206" s="199"/>
      <c r="NHW206" s="199"/>
      <c r="NHX206" s="199"/>
      <c r="NHY206" s="199"/>
      <c r="NHZ206" s="199"/>
      <c r="NIA206" s="199"/>
      <c r="NIB206" s="199"/>
      <c r="NIC206" s="199"/>
      <c r="NID206" s="199"/>
      <c r="NIE206" s="199"/>
      <c r="NIF206" s="199"/>
      <c r="NIG206" s="199"/>
      <c r="NIH206" s="199"/>
      <c r="NII206" s="199"/>
      <c r="NIJ206" s="199"/>
      <c r="NIK206" s="199"/>
      <c r="NIL206" s="199"/>
      <c r="NIM206" s="199"/>
      <c r="NIN206" s="199"/>
      <c r="NIO206" s="199"/>
      <c r="NIP206" s="199"/>
      <c r="NIQ206" s="199"/>
      <c r="NIR206" s="199"/>
      <c r="NIS206" s="199"/>
      <c r="NIT206" s="199"/>
      <c r="NIU206" s="199"/>
      <c r="NIV206" s="199"/>
      <c r="NIW206" s="199"/>
      <c r="NIX206" s="199"/>
      <c r="NIY206" s="199"/>
      <c r="NIZ206" s="199"/>
      <c r="NJA206" s="199"/>
      <c r="NJB206" s="199"/>
      <c r="NJC206" s="199"/>
      <c r="NJD206" s="199"/>
      <c r="NJE206" s="199"/>
      <c r="NJF206" s="199"/>
      <c r="NJG206" s="199"/>
      <c r="NJH206" s="199"/>
      <c r="NJI206" s="199"/>
      <c r="NJJ206" s="199"/>
      <c r="NJK206" s="199"/>
      <c r="NJL206" s="199"/>
      <c r="NJM206" s="199"/>
      <c r="NJN206" s="199"/>
      <c r="NJO206" s="199"/>
      <c r="NJP206" s="199"/>
      <c r="NJQ206" s="199"/>
      <c r="NJR206" s="199"/>
      <c r="NJS206" s="199"/>
      <c r="NJT206" s="199"/>
      <c r="NJU206" s="199"/>
      <c r="NJV206" s="199"/>
      <c r="NJW206" s="199"/>
      <c r="NJX206" s="199"/>
      <c r="NJY206" s="199"/>
      <c r="NJZ206" s="199"/>
      <c r="NKA206" s="199"/>
      <c r="NKB206" s="199"/>
      <c r="NKC206" s="199"/>
      <c r="NKD206" s="199"/>
      <c r="NKE206" s="199"/>
      <c r="NKF206" s="199"/>
      <c r="NKG206" s="199"/>
      <c r="NKH206" s="199"/>
      <c r="NKI206" s="199"/>
      <c r="NKJ206" s="199"/>
      <c r="NKK206" s="199"/>
      <c r="NKL206" s="199"/>
      <c r="NKM206" s="199"/>
      <c r="NKN206" s="199"/>
      <c r="NKO206" s="199"/>
      <c r="NKP206" s="199"/>
      <c r="NKQ206" s="199"/>
      <c r="NKR206" s="199"/>
      <c r="NKS206" s="199"/>
      <c r="NKT206" s="199"/>
      <c r="NKU206" s="199"/>
      <c r="NKV206" s="199"/>
      <c r="NKW206" s="199"/>
      <c r="NKX206" s="199"/>
      <c r="NKY206" s="199"/>
      <c r="NKZ206" s="199"/>
      <c r="NLA206" s="199"/>
      <c r="NLB206" s="199"/>
      <c r="NLC206" s="199"/>
      <c r="NLD206" s="199"/>
      <c r="NLE206" s="199"/>
      <c r="NLF206" s="199"/>
      <c r="NLG206" s="199"/>
      <c r="NLH206" s="199"/>
      <c r="NLI206" s="199"/>
      <c r="NLJ206" s="199"/>
      <c r="NLK206" s="199"/>
      <c r="NLL206" s="199"/>
      <c r="NLM206" s="199"/>
      <c r="NLN206" s="199"/>
      <c r="NLO206" s="199"/>
      <c r="NLP206" s="199"/>
      <c r="NLQ206" s="199"/>
      <c r="NLR206" s="199"/>
      <c r="NLS206" s="199"/>
      <c r="NLT206" s="199"/>
      <c r="NLU206" s="199"/>
      <c r="NLV206" s="199"/>
      <c r="NLW206" s="199"/>
      <c r="NLX206" s="199"/>
      <c r="NLY206" s="199"/>
      <c r="NLZ206" s="199"/>
      <c r="NMA206" s="199"/>
      <c r="NMB206" s="199"/>
      <c r="NMC206" s="199"/>
      <c r="NMD206" s="199"/>
      <c r="NME206" s="199"/>
      <c r="NMF206" s="199"/>
      <c r="NMG206" s="199"/>
      <c r="NMH206" s="199"/>
      <c r="NMI206" s="199"/>
      <c r="NMJ206" s="199"/>
      <c r="NMK206" s="199"/>
      <c r="NML206" s="199"/>
      <c r="NMM206" s="199"/>
      <c r="NMN206" s="199"/>
      <c r="NMO206" s="199"/>
      <c r="NMP206" s="199"/>
      <c r="NMQ206" s="199"/>
      <c r="NMR206" s="199"/>
      <c r="NMS206" s="199"/>
      <c r="NMT206" s="199"/>
      <c r="NMU206" s="199"/>
      <c r="NMV206" s="199"/>
      <c r="NMW206" s="199"/>
      <c r="NMX206" s="199"/>
      <c r="NMY206" s="199"/>
      <c r="NMZ206" s="199"/>
      <c r="NNA206" s="199"/>
      <c r="NNB206" s="199"/>
      <c r="NNC206" s="199"/>
      <c r="NND206" s="199"/>
      <c r="NNE206" s="199"/>
      <c r="NNF206" s="199"/>
      <c r="NNG206" s="199"/>
      <c r="NNH206" s="199"/>
      <c r="NNI206" s="199"/>
      <c r="NNJ206" s="199"/>
      <c r="NNK206" s="199"/>
      <c r="NNL206" s="199"/>
      <c r="NNM206" s="199"/>
      <c r="NNN206" s="199"/>
      <c r="NNO206" s="199"/>
      <c r="NNP206" s="199"/>
      <c r="NNQ206" s="199"/>
      <c r="NNR206" s="199"/>
      <c r="NNS206" s="199"/>
      <c r="NNT206" s="199"/>
      <c r="NNU206" s="199"/>
      <c r="NNV206" s="199"/>
      <c r="NNW206" s="199"/>
      <c r="NNX206" s="199"/>
      <c r="NNY206" s="199"/>
      <c r="NNZ206" s="199"/>
      <c r="NOA206" s="199"/>
      <c r="NOB206" s="199"/>
      <c r="NOC206" s="199"/>
      <c r="NOD206" s="199"/>
      <c r="NOE206" s="199"/>
      <c r="NOF206" s="199"/>
      <c r="NOG206" s="199"/>
      <c r="NOH206" s="199"/>
      <c r="NOI206" s="199"/>
      <c r="NOJ206" s="199"/>
      <c r="NOK206" s="199"/>
      <c r="NOL206" s="199"/>
      <c r="NOM206" s="199"/>
      <c r="NON206" s="199"/>
      <c r="NOO206" s="199"/>
      <c r="NOP206" s="199"/>
      <c r="NOQ206" s="199"/>
      <c r="NOR206" s="199"/>
      <c r="NOS206" s="199"/>
      <c r="NOT206" s="199"/>
      <c r="NOU206" s="199"/>
      <c r="NOV206" s="199"/>
      <c r="NOW206" s="199"/>
      <c r="NOX206" s="199"/>
      <c r="NOY206" s="199"/>
      <c r="NOZ206" s="199"/>
      <c r="NPA206" s="199"/>
      <c r="NPB206" s="199"/>
      <c r="NPC206" s="199"/>
      <c r="NPD206" s="199"/>
      <c r="NPE206" s="199"/>
      <c r="NPF206" s="199"/>
      <c r="NPG206" s="199"/>
      <c r="NPH206" s="199"/>
      <c r="NPI206" s="199"/>
      <c r="NPJ206" s="199"/>
      <c r="NPK206" s="199"/>
      <c r="NPL206" s="199"/>
      <c r="NPM206" s="199"/>
      <c r="NPN206" s="199"/>
      <c r="NPO206" s="199"/>
      <c r="NPP206" s="199"/>
      <c r="NPQ206" s="199"/>
      <c r="NPR206" s="199"/>
      <c r="NPS206" s="199"/>
      <c r="NPT206" s="199"/>
      <c r="NPU206" s="199"/>
      <c r="NPV206" s="199"/>
      <c r="NPW206" s="199"/>
      <c r="NPX206" s="199"/>
      <c r="NPY206" s="199"/>
      <c r="NPZ206" s="199"/>
      <c r="NQA206" s="199"/>
      <c r="NQB206" s="199"/>
      <c r="NQC206" s="199"/>
      <c r="NQD206" s="199"/>
      <c r="NQE206" s="199"/>
      <c r="NQF206" s="199"/>
      <c r="NQG206" s="199"/>
      <c r="NQH206" s="199"/>
      <c r="NQI206" s="199"/>
      <c r="NQJ206" s="199"/>
      <c r="NQK206" s="199"/>
      <c r="NQL206" s="199"/>
      <c r="NQM206" s="199"/>
      <c r="NQN206" s="199"/>
      <c r="NQO206" s="199"/>
      <c r="NQP206" s="199"/>
      <c r="NQQ206" s="199"/>
      <c r="NQR206" s="199"/>
      <c r="NQS206" s="199"/>
      <c r="NQT206" s="199"/>
      <c r="NQU206" s="199"/>
      <c r="NQV206" s="199"/>
      <c r="NQW206" s="199"/>
      <c r="NQX206" s="199"/>
      <c r="NQY206" s="199"/>
      <c r="NQZ206" s="199"/>
      <c r="NRA206" s="199"/>
      <c r="NRB206" s="199"/>
      <c r="NRC206" s="199"/>
      <c r="NRD206" s="199"/>
      <c r="NRE206" s="199"/>
      <c r="NRF206" s="199"/>
      <c r="NRG206" s="199"/>
      <c r="NRH206" s="199"/>
      <c r="NRI206" s="199"/>
      <c r="NRJ206" s="199"/>
      <c r="NRK206" s="199"/>
      <c r="NRL206" s="199"/>
      <c r="NRM206" s="199"/>
      <c r="NRN206" s="199"/>
      <c r="NRO206" s="199"/>
      <c r="NRP206" s="199"/>
      <c r="NRQ206" s="199"/>
      <c r="NRR206" s="199"/>
      <c r="NRS206" s="199"/>
      <c r="NRT206" s="199"/>
      <c r="NRU206" s="199"/>
      <c r="NRV206" s="199"/>
      <c r="NRW206" s="199"/>
      <c r="NRX206" s="199"/>
      <c r="NRY206" s="199"/>
      <c r="NRZ206" s="199"/>
      <c r="NSA206" s="199"/>
      <c r="NSB206" s="199"/>
      <c r="NSC206" s="199"/>
      <c r="NSD206" s="199"/>
      <c r="NSE206" s="199"/>
      <c r="NSF206" s="199"/>
      <c r="NSG206" s="199"/>
      <c r="NSH206" s="199"/>
      <c r="NSI206" s="199"/>
      <c r="NSJ206" s="199"/>
      <c r="NSK206" s="199"/>
      <c r="NSL206" s="199"/>
      <c r="NSM206" s="199"/>
      <c r="NSN206" s="199"/>
      <c r="NSO206" s="199"/>
      <c r="NSP206" s="199"/>
      <c r="NSQ206" s="199"/>
      <c r="NSR206" s="199"/>
      <c r="NSS206" s="199"/>
      <c r="NST206" s="199"/>
      <c r="NSU206" s="199"/>
      <c r="NSV206" s="199"/>
      <c r="NSW206" s="199"/>
      <c r="NSX206" s="199"/>
      <c r="NSY206" s="199"/>
      <c r="NSZ206" s="199"/>
      <c r="NTA206" s="199"/>
      <c r="NTB206" s="199"/>
      <c r="NTC206" s="199"/>
      <c r="NTD206" s="199"/>
      <c r="NTE206" s="199"/>
      <c r="NTF206" s="199"/>
      <c r="NTG206" s="199"/>
      <c r="NTH206" s="199"/>
      <c r="NTI206" s="199"/>
      <c r="NTJ206" s="199"/>
      <c r="NTK206" s="199"/>
      <c r="NTL206" s="199"/>
      <c r="NTM206" s="199"/>
      <c r="NTN206" s="199"/>
      <c r="NTO206" s="199"/>
      <c r="NTP206" s="199"/>
      <c r="NTQ206" s="199"/>
      <c r="NTR206" s="199"/>
      <c r="NTS206" s="199"/>
      <c r="NTT206" s="199"/>
      <c r="NTU206" s="199"/>
      <c r="NTV206" s="199"/>
      <c r="NTW206" s="199"/>
      <c r="NTX206" s="199"/>
      <c r="NTY206" s="199"/>
      <c r="NTZ206" s="199"/>
      <c r="NUA206" s="199"/>
      <c r="NUB206" s="199"/>
      <c r="NUC206" s="199"/>
      <c r="NUD206" s="199"/>
      <c r="NUE206" s="199"/>
      <c r="NUF206" s="199"/>
      <c r="NUG206" s="199"/>
      <c r="NUH206" s="199"/>
      <c r="NUI206" s="199"/>
      <c r="NUJ206" s="199"/>
      <c r="NUK206" s="199"/>
      <c r="NUL206" s="199"/>
      <c r="NUM206" s="199"/>
      <c r="NUN206" s="199"/>
      <c r="NUO206" s="199"/>
      <c r="NUP206" s="199"/>
      <c r="NUQ206" s="199"/>
      <c r="NUR206" s="199"/>
      <c r="NUS206" s="199"/>
      <c r="NUT206" s="199"/>
      <c r="NUU206" s="199"/>
      <c r="NUV206" s="199"/>
      <c r="NUW206" s="199"/>
      <c r="NUX206" s="199"/>
      <c r="NUY206" s="199"/>
      <c r="NUZ206" s="199"/>
      <c r="NVA206" s="199"/>
      <c r="NVB206" s="199"/>
      <c r="NVC206" s="199"/>
      <c r="NVD206" s="199"/>
      <c r="NVE206" s="199"/>
      <c r="NVF206" s="199"/>
      <c r="NVG206" s="199"/>
      <c r="NVH206" s="199"/>
      <c r="NVI206" s="199"/>
      <c r="NVJ206" s="199"/>
      <c r="NVK206" s="199"/>
      <c r="NVL206" s="199"/>
      <c r="NVM206" s="199"/>
      <c r="NVN206" s="199"/>
      <c r="NVO206" s="199"/>
      <c r="NVP206" s="199"/>
      <c r="NVQ206" s="199"/>
      <c r="NVR206" s="199"/>
      <c r="NVS206" s="199"/>
      <c r="NVT206" s="199"/>
      <c r="NVU206" s="199"/>
      <c r="NVV206" s="199"/>
      <c r="NVW206" s="199"/>
      <c r="NVX206" s="199"/>
      <c r="NVY206" s="199"/>
      <c r="NVZ206" s="199"/>
      <c r="NWA206" s="199"/>
      <c r="NWB206" s="199"/>
      <c r="NWC206" s="199"/>
      <c r="NWD206" s="199"/>
      <c r="NWE206" s="199"/>
      <c r="NWF206" s="199"/>
      <c r="NWG206" s="199"/>
      <c r="NWH206" s="199"/>
      <c r="NWI206" s="199"/>
      <c r="NWJ206" s="199"/>
      <c r="NWK206" s="199"/>
      <c r="NWL206" s="199"/>
      <c r="NWM206" s="199"/>
      <c r="NWN206" s="199"/>
      <c r="NWO206" s="199"/>
      <c r="NWP206" s="199"/>
      <c r="NWQ206" s="199"/>
      <c r="NWR206" s="199"/>
      <c r="NWS206" s="199"/>
      <c r="NWT206" s="199"/>
      <c r="NWU206" s="199"/>
      <c r="NWV206" s="199"/>
      <c r="NWW206" s="199"/>
      <c r="NWX206" s="199"/>
      <c r="NWY206" s="199"/>
      <c r="NWZ206" s="199"/>
      <c r="NXA206" s="199"/>
      <c r="NXB206" s="199"/>
      <c r="NXC206" s="199"/>
      <c r="NXD206" s="199"/>
      <c r="NXE206" s="199"/>
      <c r="NXF206" s="199"/>
      <c r="NXG206" s="199"/>
      <c r="NXH206" s="199"/>
      <c r="NXI206" s="199"/>
      <c r="NXJ206" s="199"/>
      <c r="NXK206" s="199"/>
      <c r="NXL206" s="199"/>
      <c r="NXM206" s="199"/>
      <c r="NXN206" s="199"/>
      <c r="NXO206" s="199"/>
      <c r="NXP206" s="199"/>
      <c r="NXQ206" s="199"/>
      <c r="NXR206" s="199"/>
      <c r="NXS206" s="199"/>
      <c r="NXT206" s="199"/>
      <c r="NXU206" s="199"/>
      <c r="NXV206" s="199"/>
      <c r="NXW206" s="199"/>
      <c r="NXX206" s="199"/>
      <c r="NXY206" s="199"/>
      <c r="NXZ206" s="199"/>
      <c r="NYA206" s="199"/>
      <c r="NYB206" s="199"/>
      <c r="NYC206" s="199"/>
      <c r="NYD206" s="199"/>
      <c r="NYE206" s="199"/>
      <c r="NYF206" s="199"/>
      <c r="NYG206" s="199"/>
      <c r="NYH206" s="199"/>
      <c r="NYI206" s="199"/>
      <c r="NYJ206" s="199"/>
      <c r="NYK206" s="199"/>
      <c r="NYL206" s="199"/>
      <c r="NYM206" s="199"/>
      <c r="NYN206" s="199"/>
      <c r="NYO206" s="199"/>
      <c r="NYP206" s="199"/>
      <c r="NYQ206" s="199"/>
      <c r="NYR206" s="199"/>
      <c r="NYS206" s="199"/>
      <c r="NYT206" s="199"/>
      <c r="NYU206" s="199"/>
      <c r="NYV206" s="199"/>
      <c r="NYW206" s="199"/>
      <c r="NYX206" s="199"/>
      <c r="NYY206" s="199"/>
      <c r="NYZ206" s="199"/>
      <c r="NZA206" s="199"/>
      <c r="NZB206" s="199"/>
      <c r="NZC206" s="199"/>
      <c r="NZD206" s="199"/>
      <c r="NZE206" s="199"/>
      <c r="NZF206" s="199"/>
      <c r="NZG206" s="199"/>
      <c r="NZH206" s="199"/>
      <c r="NZI206" s="199"/>
      <c r="NZJ206" s="199"/>
      <c r="NZK206" s="199"/>
      <c r="NZL206" s="199"/>
      <c r="NZM206" s="199"/>
      <c r="NZN206" s="199"/>
      <c r="NZO206" s="199"/>
      <c r="NZP206" s="199"/>
      <c r="NZQ206" s="199"/>
      <c r="NZR206" s="199"/>
      <c r="NZS206" s="199"/>
      <c r="NZT206" s="199"/>
      <c r="NZU206" s="199"/>
      <c r="NZV206" s="199"/>
      <c r="NZW206" s="199"/>
      <c r="NZX206" s="199"/>
      <c r="NZY206" s="199"/>
      <c r="NZZ206" s="199"/>
      <c r="OAA206" s="199"/>
      <c r="OAB206" s="199"/>
      <c r="OAC206" s="199"/>
      <c r="OAD206" s="199"/>
      <c r="OAE206" s="199"/>
      <c r="OAF206" s="199"/>
      <c r="OAG206" s="199"/>
      <c r="OAH206" s="199"/>
      <c r="OAI206" s="199"/>
      <c r="OAJ206" s="199"/>
      <c r="OAK206" s="199"/>
      <c r="OAL206" s="199"/>
      <c r="OAM206" s="199"/>
      <c r="OAN206" s="199"/>
      <c r="OAO206" s="199"/>
      <c r="OAP206" s="199"/>
      <c r="OAQ206" s="199"/>
      <c r="OAR206" s="199"/>
      <c r="OAS206" s="199"/>
      <c r="OAT206" s="199"/>
      <c r="OAU206" s="199"/>
      <c r="OAV206" s="199"/>
      <c r="OAW206" s="199"/>
      <c r="OAX206" s="199"/>
      <c r="OAY206" s="199"/>
      <c r="OAZ206" s="199"/>
      <c r="OBA206" s="199"/>
      <c r="OBB206" s="199"/>
      <c r="OBC206" s="199"/>
      <c r="OBD206" s="199"/>
      <c r="OBE206" s="199"/>
      <c r="OBF206" s="199"/>
      <c r="OBG206" s="199"/>
      <c r="OBH206" s="199"/>
      <c r="OBI206" s="199"/>
      <c r="OBJ206" s="199"/>
      <c r="OBK206" s="199"/>
      <c r="OBL206" s="199"/>
      <c r="OBM206" s="199"/>
      <c r="OBN206" s="199"/>
      <c r="OBO206" s="199"/>
      <c r="OBP206" s="199"/>
      <c r="OBQ206" s="199"/>
      <c r="OBR206" s="199"/>
      <c r="OBS206" s="199"/>
      <c r="OBT206" s="199"/>
      <c r="OBU206" s="199"/>
      <c r="OBV206" s="199"/>
      <c r="OBW206" s="199"/>
      <c r="OBX206" s="199"/>
      <c r="OBY206" s="199"/>
      <c r="OBZ206" s="199"/>
      <c r="OCA206" s="199"/>
      <c r="OCB206" s="199"/>
      <c r="OCC206" s="199"/>
      <c r="OCD206" s="199"/>
      <c r="OCE206" s="199"/>
      <c r="OCF206" s="199"/>
      <c r="OCG206" s="199"/>
      <c r="OCH206" s="199"/>
      <c r="OCI206" s="199"/>
      <c r="OCJ206" s="199"/>
      <c r="OCK206" s="199"/>
      <c r="OCL206" s="199"/>
      <c r="OCM206" s="199"/>
      <c r="OCN206" s="199"/>
      <c r="OCO206" s="199"/>
      <c r="OCP206" s="199"/>
      <c r="OCQ206" s="199"/>
      <c r="OCR206" s="199"/>
      <c r="OCS206" s="199"/>
      <c r="OCT206" s="199"/>
      <c r="OCU206" s="199"/>
      <c r="OCV206" s="199"/>
      <c r="OCW206" s="199"/>
      <c r="OCX206" s="199"/>
      <c r="OCY206" s="199"/>
      <c r="OCZ206" s="199"/>
      <c r="ODA206" s="199"/>
      <c r="ODB206" s="199"/>
      <c r="ODC206" s="199"/>
      <c r="ODD206" s="199"/>
      <c r="ODE206" s="199"/>
      <c r="ODF206" s="199"/>
      <c r="ODG206" s="199"/>
      <c r="ODH206" s="199"/>
      <c r="ODI206" s="199"/>
      <c r="ODJ206" s="199"/>
      <c r="ODK206" s="199"/>
      <c r="ODL206" s="199"/>
      <c r="ODM206" s="199"/>
      <c r="ODN206" s="199"/>
      <c r="ODO206" s="199"/>
      <c r="ODP206" s="199"/>
      <c r="ODQ206" s="199"/>
      <c r="ODR206" s="199"/>
      <c r="ODS206" s="199"/>
      <c r="ODT206" s="199"/>
      <c r="ODU206" s="199"/>
      <c r="ODV206" s="199"/>
      <c r="ODW206" s="199"/>
      <c r="ODX206" s="199"/>
      <c r="ODY206" s="199"/>
      <c r="ODZ206" s="199"/>
      <c r="OEA206" s="199"/>
      <c r="OEB206" s="199"/>
      <c r="OEC206" s="199"/>
      <c r="OED206" s="199"/>
      <c r="OEE206" s="199"/>
      <c r="OEF206" s="199"/>
      <c r="OEG206" s="199"/>
      <c r="OEH206" s="199"/>
      <c r="OEI206" s="199"/>
      <c r="OEJ206" s="199"/>
      <c r="OEK206" s="199"/>
      <c r="OEL206" s="199"/>
      <c r="OEM206" s="199"/>
      <c r="OEN206" s="199"/>
      <c r="OEO206" s="199"/>
      <c r="OEP206" s="199"/>
      <c r="OEQ206" s="199"/>
      <c r="OER206" s="199"/>
      <c r="OES206" s="199"/>
      <c r="OET206" s="199"/>
      <c r="OEU206" s="199"/>
      <c r="OEV206" s="199"/>
      <c r="OEW206" s="199"/>
      <c r="OEX206" s="199"/>
      <c r="OEY206" s="199"/>
      <c r="OEZ206" s="199"/>
      <c r="OFA206" s="199"/>
      <c r="OFB206" s="199"/>
      <c r="OFC206" s="199"/>
      <c r="OFD206" s="199"/>
      <c r="OFE206" s="199"/>
      <c r="OFF206" s="199"/>
      <c r="OFG206" s="199"/>
      <c r="OFH206" s="199"/>
      <c r="OFI206" s="199"/>
      <c r="OFJ206" s="199"/>
      <c r="OFK206" s="199"/>
      <c r="OFL206" s="199"/>
      <c r="OFM206" s="199"/>
      <c r="OFN206" s="199"/>
      <c r="OFO206" s="199"/>
      <c r="OFP206" s="199"/>
      <c r="OFQ206" s="199"/>
      <c r="OFR206" s="199"/>
      <c r="OFS206" s="199"/>
      <c r="OFT206" s="199"/>
      <c r="OFU206" s="199"/>
      <c r="OFV206" s="199"/>
      <c r="OFW206" s="199"/>
      <c r="OFX206" s="199"/>
      <c r="OFY206" s="199"/>
      <c r="OFZ206" s="199"/>
      <c r="OGA206" s="199"/>
      <c r="OGB206" s="199"/>
      <c r="OGC206" s="199"/>
      <c r="OGD206" s="199"/>
      <c r="OGE206" s="199"/>
      <c r="OGF206" s="199"/>
      <c r="OGG206" s="199"/>
      <c r="OGH206" s="199"/>
      <c r="OGI206" s="199"/>
      <c r="OGJ206" s="199"/>
      <c r="OGK206" s="199"/>
      <c r="OGL206" s="199"/>
      <c r="OGM206" s="199"/>
      <c r="OGN206" s="199"/>
      <c r="OGO206" s="199"/>
      <c r="OGP206" s="199"/>
      <c r="OGQ206" s="199"/>
      <c r="OGR206" s="199"/>
      <c r="OGS206" s="199"/>
      <c r="OGT206" s="199"/>
      <c r="OGU206" s="199"/>
      <c r="OGV206" s="199"/>
      <c r="OGW206" s="199"/>
      <c r="OGX206" s="199"/>
      <c r="OGY206" s="199"/>
      <c r="OGZ206" s="199"/>
      <c r="OHA206" s="199"/>
      <c r="OHB206" s="199"/>
      <c r="OHC206" s="199"/>
      <c r="OHD206" s="199"/>
      <c r="OHE206" s="199"/>
      <c r="OHF206" s="199"/>
      <c r="OHG206" s="199"/>
      <c r="OHH206" s="199"/>
      <c r="OHI206" s="199"/>
      <c r="OHJ206" s="199"/>
      <c r="OHK206" s="199"/>
      <c r="OHL206" s="199"/>
      <c r="OHM206" s="199"/>
      <c r="OHN206" s="199"/>
      <c r="OHO206" s="199"/>
      <c r="OHP206" s="199"/>
      <c r="OHQ206" s="199"/>
      <c r="OHR206" s="199"/>
      <c r="OHS206" s="199"/>
      <c r="OHT206" s="199"/>
      <c r="OHU206" s="199"/>
      <c r="OHV206" s="199"/>
      <c r="OHW206" s="199"/>
      <c r="OHX206" s="199"/>
      <c r="OHY206" s="199"/>
      <c r="OHZ206" s="199"/>
      <c r="OIA206" s="199"/>
      <c r="OIB206" s="199"/>
      <c r="OIC206" s="199"/>
      <c r="OID206" s="199"/>
      <c r="OIE206" s="199"/>
      <c r="OIF206" s="199"/>
      <c r="OIG206" s="199"/>
      <c r="OIH206" s="199"/>
      <c r="OII206" s="199"/>
      <c r="OIJ206" s="199"/>
      <c r="OIK206" s="199"/>
      <c r="OIL206" s="199"/>
      <c r="OIM206" s="199"/>
      <c r="OIN206" s="199"/>
      <c r="OIO206" s="199"/>
      <c r="OIP206" s="199"/>
      <c r="OIQ206" s="199"/>
      <c r="OIR206" s="199"/>
      <c r="OIS206" s="199"/>
      <c r="OIT206" s="199"/>
      <c r="OIU206" s="199"/>
      <c r="OIV206" s="199"/>
      <c r="OIW206" s="199"/>
      <c r="OIX206" s="199"/>
      <c r="OIY206" s="199"/>
      <c r="OIZ206" s="199"/>
      <c r="OJA206" s="199"/>
      <c r="OJB206" s="199"/>
      <c r="OJC206" s="199"/>
      <c r="OJD206" s="199"/>
      <c r="OJE206" s="199"/>
      <c r="OJF206" s="199"/>
      <c r="OJG206" s="199"/>
      <c r="OJH206" s="199"/>
      <c r="OJI206" s="199"/>
      <c r="OJJ206" s="199"/>
      <c r="OJK206" s="199"/>
      <c r="OJL206" s="199"/>
      <c r="OJM206" s="199"/>
      <c r="OJN206" s="199"/>
      <c r="OJO206" s="199"/>
      <c r="OJP206" s="199"/>
      <c r="OJQ206" s="199"/>
      <c r="OJR206" s="199"/>
      <c r="OJS206" s="199"/>
      <c r="OJT206" s="199"/>
      <c r="OJU206" s="199"/>
      <c r="OJV206" s="199"/>
      <c r="OJW206" s="199"/>
      <c r="OJX206" s="199"/>
      <c r="OJY206" s="199"/>
      <c r="OJZ206" s="199"/>
      <c r="OKA206" s="199"/>
      <c r="OKB206" s="199"/>
      <c r="OKC206" s="199"/>
      <c r="OKD206" s="199"/>
      <c r="OKE206" s="199"/>
      <c r="OKF206" s="199"/>
      <c r="OKG206" s="199"/>
      <c r="OKH206" s="199"/>
      <c r="OKI206" s="199"/>
      <c r="OKJ206" s="199"/>
      <c r="OKK206" s="199"/>
      <c r="OKL206" s="199"/>
      <c r="OKM206" s="199"/>
      <c r="OKN206" s="199"/>
      <c r="OKO206" s="199"/>
      <c r="OKP206" s="199"/>
      <c r="OKQ206" s="199"/>
      <c r="OKR206" s="199"/>
      <c r="OKS206" s="199"/>
      <c r="OKT206" s="199"/>
      <c r="OKU206" s="199"/>
      <c r="OKV206" s="199"/>
      <c r="OKW206" s="199"/>
      <c r="OKX206" s="199"/>
      <c r="OKY206" s="199"/>
      <c r="OKZ206" s="199"/>
      <c r="OLA206" s="199"/>
      <c r="OLB206" s="199"/>
      <c r="OLC206" s="199"/>
      <c r="OLD206" s="199"/>
      <c r="OLE206" s="199"/>
      <c r="OLF206" s="199"/>
      <c r="OLG206" s="199"/>
      <c r="OLH206" s="199"/>
      <c r="OLI206" s="199"/>
      <c r="OLJ206" s="199"/>
      <c r="OLK206" s="199"/>
      <c r="OLL206" s="199"/>
      <c r="OLM206" s="199"/>
      <c r="OLN206" s="199"/>
      <c r="OLO206" s="199"/>
      <c r="OLP206" s="199"/>
      <c r="OLQ206" s="199"/>
      <c r="OLR206" s="199"/>
      <c r="OLS206" s="199"/>
      <c r="OLT206" s="199"/>
      <c r="OLU206" s="199"/>
      <c r="OLV206" s="199"/>
      <c r="OLW206" s="199"/>
      <c r="OLX206" s="199"/>
      <c r="OLY206" s="199"/>
      <c r="OLZ206" s="199"/>
      <c r="OMA206" s="199"/>
      <c r="OMB206" s="199"/>
      <c r="OMC206" s="199"/>
      <c r="OMD206" s="199"/>
      <c r="OME206" s="199"/>
      <c r="OMF206" s="199"/>
      <c r="OMG206" s="199"/>
      <c r="OMH206" s="199"/>
      <c r="OMI206" s="199"/>
      <c r="OMJ206" s="199"/>
      <c r="OMK206" s="199"/>
      <c r="OML206" s="199"/>
      <c r="OMM206" s="199"/>
      <c r="OMN206" s="199"/>
      <c r="OMO206" s="199"/>
      <c r="OMP206" s="199"/>
      <c r="OMQ206" s="199"/>
      <c r="OMR206" s="199"/>
      <c r="OMS206" s="199"/>
      <c r="OMT206" s="199"/>
      <c r="OMU206" s="199"/>
      <c r="OMV206" s="199"/>
      <c r="OMW206" s="199"/>
      <c r="OMX206" s="199"/>
      <c r="OMY206" s="199"/>
      <c r="OMZ206" s="199"/>
      <c r="ONA206" s="199"/>
      <c r="ONB206" s="199"/>
      <c r="ONC206" s="199"/>
      <c r="OND206" s="199"/>
      <c r="ONE206" s="199"/>
      <c r="ONF206" s="199"/>
      <c r="ONG206" s="199"/>
      <c r="ONH206" s="199"/>
      <c r="ONI206" s="199"/>
      <c r="ONJ206" s="199"/>
      <c r="ONK206" s="199"/>
      <c r="ONL206" s="199"/>
      <c r="ONM206" s="199"/>
      <c r="ONN206" s="199"/>
      <c r="ONO206" s="199"/>
      <c r="ONP206" s="199"/>
      <c r="ONQ206" s="199"/>
      <c r="ONR206" s="199"/>
      <c r="ONS206" s="199"/>
      <c r="ONT206" s="199"/>
      <c r="ONU206" s="199"/>
      <c r="ONV206" s="199"/>
      <c r="ONW206" s="199"/>
      <c r="ONX206" s="199"/>
      <c r="ONY206" s="199"/>
      <c r="ONZ206" s="199"/>
      <c r="OOA206" s="199"/>
      <c r="OOB206" s="199"/>
      <c r="OOC206" s="199"/>
      <c r="OOD206" s="199"/>
      <c r="OOE206" s="199"/>
      <c r="OOF206" s="199"/>
      <c r="OOG206" s="199"/>
      <c r="OOH206" s="199"/>
      <c r="OOI206" s="199"/>
      <c r="OOJ206" s="199"/>
      <c r="OOK206" s="199"/>
      <c r="OOL206" s="199"/>
      <c r="OOM206" s="199"/>
      <c r="OON206" s="199"/>
      <c r="OOO206" s="199"/>
      <c r="OOP206" s="199"/>
      <c r="OOQ206" s="199"/>
      <c r="OOR206" s="199"/>
      <c r="OOS206" s="199"/>
      <c r="OOT206" s="199"/>
      <c r="OOU206" s="199"/>
      <c r="OOV206" s="199"/>
      <c r="OOW206" s="199"/>
      <c r="OOX206" s="199"/>
      <c r="OOY206" s="199"/>
      <c r="OOZ206" s="199"/>
      <c r="OPA206" s="199"/>
      <c r="OPB206" s="199"/>
      <c r="OPC206" s="199"/>
      <c r="OPD206" s="199"/>
      <c r="OPE206" s="199"/>
      <c r="OPF206" s="199"/>
      <c r="OPG206" s="199"/>
      <c r="OPH206" s="199"/>
      <c r="OPI206" s="199"/>
      <c r="OPJ206" s="199"/>
      <c r="OPK206" s="199"/>
      <c r="OPL206" s="199"/>
      <c r="OPM206" s="199"/>
      <c r="OPN206" s="199"/>
      <c r="OPO206" s="199"/>
      <c r="OPP206" s="199"/>
      <c r="OPQ206" s="199"/>
      <c r="OPR206" s="199"/>
      <c r="OPS206" s="199"/>
      <c r="OPT206" s="199"/>
      <c r="OPU206" s="199"/>
      <c r="OPV206" s="199"/>
      <c r="OPW206" s="199"/>
      <c r="OPX206" s="199"/>
      <c r="OPY206" s="199"/>
      <c r="OPZ206" s="199"/>
      <c r="OQA206" s="199"/>
      <c r="OQB206" s="199"/>
      <c r="OQC206" s="199"/>
      <c r="OQD206" s="199"/>
      <c r="OQE206" s="199"/>
      <c r="OQF206" s="199"/>
      <c r="OQG206" s="199"/>
      <c r="OQH206" s="199"/>
      <c r="OQI206" s="199"/>
      <c r="OQJ206" s="199"/>
      <c r="OQK206" s="199"/>
      <c r="OQL206" s="199"/>
      <c r="OQM206" s="199"/>
      <c r="OQN206" s="199"/>
      <c r="OQO206" s="199"/>
      <c r="OQP206" s="199"/>
      <c r="OQQ206" s="199"/>
      <c r="OQR206" s="199"/>
      <c r="OQS206" s="199"/>
      <c r="OQT206" s="199"/>
      <c r="OQU206" s="199"/>
      <c r="OQV206" s="199"/>
      <c r="OQW206" s="199"/>
      <c r="OQX206" s="199"/>
      <c r="OQY206" s="199"/>
      <c r="OQZ206" s="199"/>
      <c r="ORA206" s="199"/>
      <c r="ORB206" s="199"/>
      <c r="ORC206" s="199"/>
      <c r="ORD206" s="199"/>
      <c r="ORE206" s="199"/>
      <c r="ORF206" s="199"/>
      <c r="ORG206" s="199"/>
      <c r="ORH206" s="199"/>
      <c r="ORI206" s="199"/>
      <c r="ORJ206" s="199"/>
      <c r="ORK206" s="199"/>
      <c r="ORL206" s="199"/>
      <c r="ORM206" s="199"/>
      <c r="ORN206" s="199"/>
      <c r="ORO206" s="199"/>
      <c r="ORP206" s="199"/>
      <c r="ORQ206" s="199"/>
      <c r="ORR206" s="199"/>
      <c r="ORS206" s="199"/>
      <c r="ORT206" s="199"/>
      <c r="ORU206" s="199"/>
      <c r="ORV206" s="199"/>
      <c r="ORW206" s="199"/>
      <c r="ORX206" s="199"/>
      <c r="ORY206" s="199"/>
      <c r="ORZ206" s="199"/>
      <c r="OSA206" s="199"/>
      <c r="OSB206" s="199"/>
      <c r="OSC206" s="199"/>
      <c r="OSD206" s="199"/>
      <c r="OSE206" s="199"/>
      <c r="OSF206" s="199"/>
      <c r="OSG206" s="199"/>
      <c r="OSH206" s="199"/>
      <c r="OSI206" s="199"/>
      <c r="OSJ206" s="199"/>
      <c r="OSK206" s="199"/>
      <c r="OSL206" s="199"/>
      <c r="OSM206" s="199"/>
      <c r="OSN206" s="199"/>
      <c r="OSO206" s="199"/>
      <c r="OSP206" s="199"/>
      <c r="OSQ206" s="199"/>
      <c r="OSR206" s="199"/>
      <c r="OSS206" s="199"/>
      <c r="OST206" s="199"/>
      <c r="OSU206" s="199"/>
      <c r="OSV206" s="199"/>
      <c r="OSW206" s="199"/>
      <c r="OSX206" s="199"/>
      <c r="OSY206" s="199"/>
      <c r="OSZ206" s="199"/>
      <c r="OTA206" s="199"/>
      <c r="OTB206" s="199"/>
      <c r="OTC206" s="199"/>
      <c r="OTD206" s="199"/>
      <c r="OTE206" s="199"/>
      <c r="OTF206" s="199"/>
      <c r="OTG206" s="199"/>
      <c r="OTH206" s="199"/>
      <c r="OTI206" s="199"/>
      <c r="OTJ206" s="199"/>
      <c r="OTK206" s="199"/>
      <c r="OTL206" s="199"/>
      <c r="OTM206" s="199"/>
      <c r="OTN206" s="199"/>
      <c r="OTO206" s="199"/>
      <c r="OTP206" s="199"/>
      <c r="OTQ206" s="199"/>
      <c r="OTR206" s="199"/>
      <c r="OTS206" s="199"/>
      <c r="OTT206" s="199"/>
      <c r="OTU206" s="199"/>
      <c r="OTV206" s="199"/>
      <c r="OTW206" s="199"/>
      <c r="OTX206" s="199"/>
      <c r="OTY206" s="199"/>
      <c r="OTZ206" s="199"/>
      <c r="OUA206" s="199"/>
      <c r="OUB206" s="199"/>
      <c r="OUC206" s="199"/>
      <c r="OUD206" s="199"/>
      <c r="OUE206" s="199"/>
      <c r="OUF206" s="199"/>
      <c r="OUG206" s="199"/>
      <c r="OUH206" s="199"/>
      <c r="OUI206" s="199"/>
      <c r="OUJ206" s="199"/>
      <c r="OUK206" s="199"/>
      <c r="OUL206" s="199"/>
      <c r="OUM206" s="199"/>
      <c r="OUN206" s="199"/>
      <c r="OUO206" s="199"/>
      <c r="OUP206" s="199"/>
      <c r="OUQ206" s="199"/>
      <c r="OUR206" s="199"/>
      <c r="OUS206" s="199"/>
      <c r="OUT206" s="199"/>
      <c r="OUU206" s="199"/>
      <c r="OUV206" s="199"/>
      <c r="OUW206" s="199"/>
      <c r="OUX206" s="199"/>
      <c r="OUY206" s="199"/>
      <c r="OUZ206" s="199"/>
      <c r="OVA206" s="199"/>
      <c r="OVB206" s="199"/>
      <c r="OVC206" s="199"/>
      <c r="OVD206" s="199"/>
      <c r="OVE206" s="199"/>
      <c r="OVF206" s="199"/>
      <c r="OVG206" s="199"/>
      <c r="OVH206" s="199"/>
      <c r="OVI206" s="199"/>
      <c r="OVJ206" s="199"/>
      <c r="OVK206" s="199"/>
      <c r="OVL206" s="199"/>
      <c r="OVM206" s="199"/>
      <c r="OVN206" s="199"/>
      <c r="OVO206" s="199"/>
      <c r="OVP206" s="199"/>
      <c r="OVQ206" s="199"/>
      <c r="OVR206" s="199"/>
      <c r="OVS206" s="199"/>
      <c r="OVT206" s="199"/>
      <c r="OVU206" s="199"/>
      <c r="OVV206" s="199"/>
      <c r="OVW206" s="199"/>
      <c r="OVX206" s="199"/>
      <c r="OVY206" s="199"/>
      <c r="OVZ206" s="199"/>
      <c r="OWA206" s="199"/>
      <c r="OWB206" s="199"/>
      <c r="OWC206" s="199"/>
      <c r="OWD206" s="199"/>
      <c r="OWE206" s="199"/>
      <c r="OWF206" s="199"/>
      <c r="OWG206" s="199"/>
      <c r="OWH206" s="199"/>
      <c r="OWI206" s="199"/>
      <c r="OWJ206" s="199"/>
      <c r="OWK206" s="199"/>
      <c r="OWL206" s="199"/>
      <c r="OWM206" s="199"/>
      <c r="OWN206" s="199"/>
      <c r="OWO206" s="199"/>
      <c r="OWP206" s="199"/>
      <c r="OWQ206" s="199"/>
      <c r="OWR206" s="199"/>
      <c r="OWS206" s="199"/>
      <c r="OWT206" s="199"/>
      <c r="OWU206" s="199"/>
      <c r="OWV206" s="199"/>
      <c r="OWW206" s="199"/>
      <c r="OWX206" s="199"/>
      <c r="OWY206" s="199"/>
      <c r="OWZ206" s="199"/>
      <c r="OXA206" s="199"/>
      <c r="OXB206" s="199"/>
      <c r="OXC206" s="199"/>
      <c r="OXD206" s="199"/>
      <c r="OXE206" s="199"/>
      <c r="OXF206" s="199"/>
      <c r="OXG206" s="199"/>
      <c r="OXH206" s="199"/>
      <c r="OXI206" s="199"/>
      <c r="OXJ206" s="199"/>
      <c r="OXK206" s="199"/>
      <c r="OXL206" s="199"/>
      <c r="OXM206" s="199"/>
      <c r="OXN206" s="199"/>
      <c r="OXO206" s="199"/>
      <c r="OXP206" s="199"/>
      <c r="OXQ206" s="199"/>
      <c r="OXR206" s="199"/>
      <c r="OXS206" s="199"/>
      <c r="OXT206" s="199"/>
      <c r="OXU206" s="199"/>
      <c r="OXV206" s="199"/>
      <c r="OXW206" s="199"/>
      <c r="OXX206" s="199"/>
      <c r="OXY206" s="199"/>
      <c r="OXZ206" s="199"/>
      <c r="OYA206" s="199"/>
      <c r="OYB206" s="199"/>
      <c r="OYC206" s="199"/>
      <c r="OYD206" s="199"/>
      <c r="OYE206" s="199"/>
      <c r="OYF206" s="199"/>
      <c r="OYG206" s="199"/>
      <c r="OYH206" s="199"/>
      <c r="OYI206" s="199"/>
      <c r="OYJ206" s="199"/>
      <c r="OYK206" s="199"/>
      <c r="OYL206" s="199"/>
      <c r="OYM206" s="199"/>
      <c r="OYN206" s="199"/>
      <c r="OYO206" s="199"/>
      <c r="OYP206" s="199"/>
      <c r="OYQ206" s="199"/>
      <c r="OYR206" s="199"/>
      <c r="OYS206" s="199"/>
      <c r="OYT206" s="199"/>
      <c r="OYU206" s="199"/>
      <c r="OYV206" s="199"/>
      <c r="OYW206" s="199"/>
      <c r="OYX206" s="199"/>
      <c r="OYY206" s="199"/>
      <c r="OYZ206" s="199"/>
      <c r="OZA206" s="199"/>
      <c r="OZB206" s="199"/>
      <c r="OZC206" s="199"/>
      <c r="OZD206" s="199"/>
      <c r="OZE206" s="199"/>
      <c r="OZF206" s="199"/>
      <c r="OZG206" s="199"/>
      <c r="OZH206" s="199"/>
      <c r="OZI206" s="199"/>
      <c r="OZJ206" s="199"/>
      <c r="OZK206" s="199"/>
      <c r="OZL206" s="199"/>
      <c r="OZM206" s="199"/>
      <c r="OZN206" s="199"/>
      <c r="OZO206" s="199"/>
      <c r="OZP206" s="199"/>
      <c r="OZQ206" s="199"/>
      <c r="OZR206" s="199"/>
      <c r="OZS206" s="199"/>
      <c r="OZT206" s="199"/>
      <c r="OZU206" s="199"/>
      <c r="OZV206" s="199"/>
      <c r="OZW206" s="199"/>
      <c r="OZX206" s="199"/>
      <c r="OZY206" s="199"/>
      <c r="OZZ206" s="199"/>
      <c r="PAA206" s="199"/>
      <c r="PAB206" s="199"/>
      <c r="PAC206" s="199"/>
      <c r="PAD206" s="199"/>
      <c r="PAE206" s="199"/>
      <c r="PAF206" s="199"/>
      <c r="PAG206" s="199"/>
      <c r="PAH206" s="199"/>
      <c r="PAI206" s="199"/>
      <c r="PAJ206" s="199"/>
      <c r="PAK206" s="199"/>
      <c r="PAL206" s="199"/>
      <c r="PAM206" s="199"/>
      <c r="PAN206" s="199"/>
      <c r="PAO206" s="199"/>
      <c r="PAP206" s="199"/>
      <c r="PAQ206" s="199"/>
      <c r="PAR206" s="199"/>
      <c r="PAS206" s="199"/>
      <c r="PAT206" s="199"/>
      <c r="PAU206" s="199"/>
      <c r="PAV206" s="199"/>
      <c r="PAW206" s="199"/>
      <c r="PAX206" s="199"/>
      <c r="PAY206" s="199"/>
      <c r="PAZ206" s="199"/>
      <c r="PBA206" s="199"/>
      <c r="PBB206" s="199"/>
      <c r="PBC206" s="199"/>
      <c r="PBD206" s="199"/>
      <c r="PBE206" s="199"/>
      <c r="PBF206" s="199"/>
      <c r="PBG206" s="199"/>
      <c r="PBH206" s="199"/>
      <c r="PBI206" s="199"/>
      <c r="PBJ206" s="199"/>
      <c r="PBK206" s="199"/>
      <c r="PBL206" s="199"/>
      <c r="PBM206" s="199"/>
      <c r="PBN206" s="199"/>
      <c r="PBO206" s="199"/>
      <c r="PBP206" s="199"/>
      <c r="PBQ206" s="199"/>
      <c r="PBR206" s="199"/>
      <c r="PBS206" s="199"/>
      <c r="PBT206" s="199"/>
      <c r="PBU206" s="199"/>
      <c r="PBV206" s="199"/>
      <c r="PBW206" s="199"/>
      <c r="PBX206" s="199"/>
      <c r="PBY206" s="199"/>
      <c r="PBZ206" s="199"/>
      <c r="PCA206" s="199"/>
      <c r="PCB206" s="199"/>
      <c r="PCC206" s="199"/>
      <c r="PCD206" s="199"/>
      <c r="PCE206" s="199"/>
      <c r="PCF206" s="199"/>
      <c r="PCG206" s="199"/>
      <c r="PCH206" s="199"/>
      <c r="PCI206" s="199"/>
      <c r="PCJ206" s="199"/>
      <c r="PCK206" s="199"/>
      <c r="PCL206" s="199"/>
      <c r="PCM206" s="199"/>
      <c r="PCN206" s="199"/>
      <c r="PCO206" s="199"/>
      <c r="PCP206" s="199"/>
      <c r="PCQ206" s="199"/>
      <c r="PCR206" s="199"/>
      <c r="PCS206" s="199"/>
      <c r="PCT206" s="199"/>
      <c r="PCU206" s="199"/>
      <c r="PCV206" s="199"/>
      <c r="PCW206" s="199"/>
      <c r="PCX206" s="199"/>
      <c r="PCY206" s="199"/>
      <c r="PCZ206" s="199"/>
      <c r="PDA206" s="199"/>
      <c r="PDB206" s="199"/>
      <c r="PDC206" s="199"/>
      <c r="PDD206" s="199"/>
      <c r="PDE206" s="199"/>
      <c r="PDF206" s="199"/>
      <c r="PDG206" s="199"/>
      <c r="PDH206" s="199"/>
      <c r="PDI206" s="199"/>
      <c r="PDJ206" s="199"/>
      <c r="PDK206" s="199"/>
      <c r="PDL206" s="199"/>
      <c r="PDM206" s="199"/>
      <c r="PDN206" s="199"/>
      <c r="PDO206" s="199"/>
      <c r="PDP206" s="199"/>
      <c r="PDQ206" s="199"/>
      <c r="PDR206" s="199"/>
      <c r="PDS206" s="199"/>
      <c r="PDT206" s="199"/>
      <c r="PDU206" s="199"/>
      <c r="PDV206" s="199"/>
      <c r="PDW206" s="199"/>
      <c r="PDX206" s="199"/>
      <c r="PDY206" s="199"/>
      <c r="PDZ206" s="199"/>
      <c r="PEA206" s="199"/>
      <c r="PEB206" s="199"/>
      <c r="PEC206" s="199"/>
      <c r="PED206" s="199"/>
      <c r="PEE206" s="199"/>
      <c r="PEF206" s="199"/>
      <c r="PEG206" s="199"/>
      <c r="PEH206" s="199"/>
      <c r="PEI206" s="199"/>
      <c r="PEJ206" s="199"/>
      <c r="PEK206" s="199"/>
      <c r="PEL206" s="199"/>
      <c r="PEM206" s="199"/>
      <c r="PEN206" s="199"/>
      <c r="PEO206" s="199"/>
      <c r="PEP206" s="199"/>
      <c r="PEQ206" s="199"/>
      <c r="PER206" s="199"/>
      <c r="PES206" s="199"/>
      <c r="PET206" s="199"/>
      <c r="PEU206" s="199"/>
      <c r="PEV206" s="199"/>
      <c r="PEW206" s="199"/>
      <c r="PEX206" s="199"/>
      <c r="PEY206" s="199"/>
      <c r="PEZ206" s="199"/>
      <c r="PFA206" s="199"/>
      <c r="PFB206" s="199"/>
      <c r="PFC206" s="199"/>
      <c r="PFD206" s="199"/>
      <c r="PFE206" s="199"/>
      <c r="PFF206" s="199"/>
      <c r="PFG206" s="199"/>
      <c r="PFH206" s="199"/>
      <c r="PFI206" s="199"/>
      <c r="PFJ206" s="199"/>
      <c r="PFK206" s="199"/>
      <c r="PFL206" s="199"/>
      <c r="PFM206" s="199"/>
      <c r="PFN206" s="199"/>
      <c r="PFO206" s="199"/>
      <c r="PFP206" s="199"/>
      <c r="PFQ206" s="199"/>
      <c r="PFR206" s="199"/>
      <c r="PFS206" s="199"/>
      <c r="PFT206" s="199"/>
      <c r="PFU206" s="199"/>
      <c r="PFV206" s="199"/>
      <c r="PFW206" s="199"/>
      <c r="PFX206" s="199"/>
      <c r="PFY206" s="199"/>
      <c r="PFZ206" s="199"/>
      <c r="PGA206" s="199"/>
      <c r="PGB206" s="199"/>
      <c r="PGC206" s="199"/>
      <c r="PGD206" s="199"/>
      <c r="PGE206" s="199"/>
      <c r="PGF206" s="199"/>
      <c r="PGG206" s="199"/>
      <c r="PGH206" s="199"/>
      <c r="PGI206" s="199"/>
      <c r="PGJ206" s="199"/>
      <c r="PGK206" s="199"/>
      <c r="PGL206" s="199"/>
      <c r="PGM206" s="199"/>
      <c r="PGN206" s="199"/>
      <c r="PGO206" s="199"/>
      <c r="PGP206" s="199"/>
      <c r="PGQ206" s="199"/>
      <c r="PGR206" s="199"/>
      <c r="PGS206" s="199"/>
      <c r="PGT206" s="199"/>
      <c r="PGU206" s="199"/>
      <c r="PGV206" s="199"/>
      <c r="PGW206" s="199"/>
      <c r="PGX206" s="199"/>
      <c r="PGY206" s="199"/>
      <c r="PGZ206" s="199"/>
      <c r="PHA206" s="199"/>
      <c r="PHB206" s="199"/>
      <c r="PHC206" s="199"/>
      <c r="PHD206" s="199"/>
      <c r="PHE206" s="199"/>
      <c r="PHF206" s="199"/>
      <c r="PHG206" s="199"/>
      <c r="PHH206" s="199"/>
      <c r="PHI206" s="199"/>
      <c r="PHJ206" s="199"/>
      <c r="PHK206" s="199"/>
      <c r="PHL206" s="199"/>
      <c r="PHM206" s="199"/>
      <c r="PHN206" s="199"/>
      <c r="PHO206" s="199"/>
      <c r="PHP206" s="199"/>
      <c r="PHQ206" s="199"/>
      <c r="PHR206" s="199"/>
      <c r="PHS206" s="199"/>
      <c r="PHT206" s="199"/>
      <c r="PHU206" s="199"/>
      <c r="PHV206" s="199"/>
      <c r="PHW206" s="199"/>
      <c r="PHX206" s="199"/>
      <c r="PHY206" s="199"/>
      <c r="PHZ206" s="199"/>
      <c r="PIA206" s="199"/>
      <c r="PIB206" s="199"/>
      <c r="PIC206" s="199"/>
      <c r="PID206" s="199"/>
      <c r="PIE206" s="199"/>
      <c r="PIF206" s="199"/>
      <c r="PIG206" s="199"/>
      <c r="PIH206" s="199"/>
      <c r="PII206" s="199"/>
      <c r="PIJ206" s="199"/>
      <c r="PIK206" s="199"/>
      <c r="PIL206" s="199"/>
      <c r="PIM206" s="199"/>
      <c r="PIN206" s="199"/>
      <c r="PIO206" s="199"/>
      <c r="PIP206" s="199"/>
      <c r="PIQ206" s="199"/>
      <c r="PIR206" s="199"/>
      <c r="PIS206" s="199"/>
      <c r="PIT206" s="199"/>
      <c r="PIU206" s="199"/>
      <c r="PIV206" s="199"/>
      <c r="PIW206" s="199"/>
      <c r="PIX206" s="199"/>
      <c r="PIY206" s="199"/>
      <c r="PIZ206" s="199"/>
      <c r="PJA206" s="199"/>
      <c r="PJB206" s="199"/>
      <c r="PJC206" s="199"/>
      <c r="PJD206" s="199"/>
      <c r="PJE206" s="199"/>
      <c r="PJF206" s="199"/>
      <c r="PJG206" s="199"/>
      <c r="PJH206" s="199"/>
      <c r="PJI206" s="199"/>
      <c r="PJJ206" s="199"/>
      <c r="PJK206" s="199"/>
      <c r="PJL206" s="199"/>
      <c r="PJM206" s="199"/>
      <c r="PJN206" s="199"/>
      <c r="PJO206" s="199"/>
      <c r="PJP206" s="199"/>
      <c r="PJQ206" s="199"/>
      <c r="PJR206" s="199"/>
      <c r="PJS206" s="199"/>
      <c r="PJT206" s="199"/>
      <c r="PJU206" s="199"/>
      <c r="PJV206" s="199"/>
      <c r="PJW206" s="199"/>
      <c r="PJX206" s="199"/>
      <c r="PJY206" s="199"/>
      <c r="PJZ206" s="199"/>
      <c r="PKA206" s="199"/>
      <c r="PKB206" s="199"/>
      <c r="PKC206" s="199"/>
      <c r="PKD206" s="199"/>
      <c r="PKE206" s="199"/>
      <c r="PKF206" s="199"/>
      <c r="PKG206" s="199"/>
      <c r="PKH206" s="199"/>
      <c r="PKI206" s="199"/>
      <c r="PKJ206" s="199"/>
      <c r="PKK206" s="199"/>
      <c r="PKL206" s="199"/>
      <c r="PKM206" s="199"/>
      <c r="PKN206" s="199"/>
      <c r="PKO206" s="199"/>
      <c r="PKP206" s="199"/>
      <c r="PKQ206" s="199"/>
      <c r="PKR206" s="199"/>
      <c r="PKS206" s="199"/>
      <c r="PKT206" s="199"/>
      <c r="PKU206" s="199"/>
      <c r="PKV206" s="199"/>
      <c r="PKW206" s="199"/>
      <c r="PKX206" s="199"/>
      <c r="PKY206" s="199"/>
      <c r="PKZ206" s="199"/>
      <c r="PLA206" s="199"/>
      <c r="PLB206" s="199"/>
      <c r="PLC206" s="199"/>
      <c r="PLD206" s="199"/>
      <c r="PLE206" s="199"/>
      <c r="PLF206" s="199"/>
      <c r="PLG206" s="199"/>
      <c r="PLH206" s="199"/>
      <c r="PLI206" s="199"/>
      <c r="PLJ206" s="199"/>
      <c r="PLK206" s="199"/>
      <c r="PLL206" s="199"/>
      <c r="PLM206" s="199"/>
      <c r="PLN206" s="199"/>
      <c r="PLO206" s="199"/>
      <c r="PLP206" s="199"/>
      <c r="PLQ206" s="199"/>
      <c r="PLR206" s="199"/>
      <c r="PLS206" s="199"/>
      <c r="PLT206" s="199"/>
      <c r="PLU206" s="199"/>
      <c r="PLV206" s="199"/>
      <c r="PLW206" s="199"/>
      <c r="PLX206" s="199"/>
      <c r="PLY206" s="199"/>
      <c r="PLZ206" s="199"/>
      <c r="PMA206" s="199"/>
      <c r="PMB206" s="199"/>
      <c r="PMC206" s="199"/>
      <c r="PMD206" s="199"/>
      <c r="PME206" s="199"/>
      <c r="PMF206" s="199"/>
      <c r="PMG206" s="199"/>
      <c r="PMH206" s="199"/>
      <c r="PMI206" s="199"/>
      <c r="PMJ206" s="199"/>
      <c r="PMK206" s="199"/>
      <c r="PML206" s="199"/>
      <c r="PMM206" s="199"/>
      <c r="PMN206" s="199"/>
      <c r="PMO206" s="199"/>
      <c r="PMP206" s="199"/>
      <c r="PMQ206" s="199"/>
      <c r="PMR206" s="199"/>
      <c r="PMS206" s="199"/>
      <c r="PMT206" s="199"/>
      <c r="PMU206" s="199"/>
      <c r="PMV206" s="199"/>
      <c r="PMW206" s="199"/>
      <c r="PMX206" s="199"/>
      <c r="PMY206" s="199"/>
      <c r="PMZ206" s="199"/>
      <c r="PNA206" s="199"/>
      <c r="PNB206" s="199"/>
      <c r="PNC206" s="199"/>
      <c r="PND206" s="199"/>
      <c r="PNE206" s="199"/>
      <c r="PNF206" s="199"/>
      <c r="PNG206" s="199"/>
      <c r="PNH206" s="199"/>
      <c r="PNI206" s="199"/>
      <c r="PNJ206" s="199"/>
      <c r="PNK206" s="199"/>
      <c r="PNL206" s="199"/>
      <c r="PNM206" s="199"/>
      <c r="PNN206" s="199"/>
      <c r="PNO206" s="199"/>
      <c r="PNP206" s="199"/>
      <c r="PNQ206" s="199"/>
      <c r="PNR206" s="199"/>
      <c r="PNS206" s="199"/>
      <c r="PNT206" s="199"/>
      <c r="PNU206" s="199"/>
      <c r="PNV206" s="199"/>
      <c r="PNW206" s="199"/>
      <c r="PNX206" s="199"/>
      <c r="PNY206" s="199"/>
      <c r="PNZ206" s="199"/>
      <c r="POA206" s="199"/>
      <c r="POB206" s="199"/>
      <c r="POC206" s="199"/>
      <c r="POD206" s="199"/>
      <c r="POE206" s="199"/>
      <c r="POF206" s="199"/>
      <c r="POG206" s="199"/>
      <c r="POH206" s="199"/>
      <c r="POI206" s="199"/>
      <c r="POJ206" s="199"/>
      <c r="POK206" s="199"/>
      <c r="POL206" s="199"/>
      <c r="POM206" s="199"/>
      <c r="PON206" s="199"/>
      <c r="POO206" s="199"/>
      <c r="POP206" s="199"/>
      <c r="POQ206" s="199"/>
      <c r="POR206" s="199"/>
      <c r="POS206" s="199"/>
      <c r="POT206" s="199"/>
      <c r="POU206" s="199"/>
      <c r="POV206" s="199"/>
      <c r="POW206" s="199"/>
      <c r="POX206" s="199"/>
      <c r="POY206" s="199"/>
      <c r="POZ206" s="199"/>
      <c r="PPA206" s="199"/>
      <c r="PPB206" s="199"/>
      <c r="PPC206" s="199"/>
      <c r="PPD206" s="199"/>
      <c r="PPE206" s="199"/>
      <c r="PPF206" s="199"/>
      <c r="PPG206" s="199"/>
      <c r="PPH206" s="199"/>
      <c r="PPI206" s="199"/>
      <c r="PPJ206" s="199"/>
      <c r="PPK206" s="199"/>
      <c r="PPL206" s="199"/>
      <c r="PPM206" s="199"/>
      <c r="PPN206" s="199"/>
      <c r="PPO206" s="199"/>
      <c r="PPP206" s="199"/>
      <c r="PPQ206" s="199"/>
      <c r="PPR206" s="199"/>
      <c r="PPS206" s="199"/>
      <c r="PPT206" s="199"/>
      <c r="PPU206" s="199"/>
      <c r="PPV206" s="199"/>
      <c r="PPW206" s="199"/>
      <c r="PPX206" s="199"/>
      <c r="PPY206" s="199"/>
      <c r="PPZ206" s="199"/>
      <c r="PQA206" s="199"/>
      <c r="PQB206" s="199"/>
      <c r="PQC206" s="199"/>
      <c r="PQD206" s="199"/>
      <c r="PQE206" s="199"/>
      <c r="PQF206" s="199"/>
      <c r="PQG206" s="199"/>
      <c r="PQH206" s="199"/>
      <c r="PQI206" s="199"/>
      <c r="PQJ206" s="199"/>
      <c r="PQK206" s="199"/>
      <c r="PQL206" s="199"/>
      <c r="PQM206" s="199"/>
      <c r="PQN206" s="199"/>
      <c r="PQO206" s="199"/>
      <c r="PQP206" s="199"/>
      <c r="PQQ206" s="199"/>
      <c r="PQR206" s="199"/>
      <c r="PQS206" s="199"/>
      <c r="PQT206" s="199"/>
      <c r="PQU206" s="199"/>
      <c r="PQV206" s="199"/>
      <c r="PQW206" s="199"/>
      <c r="PQX206" s="199"/>
      <c r="PQY206" s="199"/>
      <c r="PQZ206" s="199"/>
      <c r="PRA206" s="199"/>
      <c r="PRB206" s="199"/>
      <c r="PRC206" s="199"/>
      <c r="PRD206" s="199"/>
      <c r="PRE206" s="199"/>
      <c r="PRF206" s="199"/>
      <c r="PRG206" s="199"/>
      <c r="PRH206" s="199"/>
      <c r="PRI206" s="199"/>
      <c r="PRJ206" s="199"/>
      <c r="PRK206" s="199"/>
      <c r="PRL206" s="199"/>
      <c r="PRM206" s="199"/>
      <c r="PRN206" s="199"/>
      <c r="PRO206" s="199"/>
      <c r="PRP206" s="199"/>
      <c r="PRQ206" s="199"/>
      <c r="PRR206" s="199"/>
      <c r="PRS206" s="199"/>
      <c r="PRT206" s="199"/>
      <c r="PRU206" s="199"/>
      <c r="PRV206" s="199"/>
      <c r="PRW206" s="199"/>
      <c r="PRX206" s="199"/>
      <c r="PRY206" s="199"/>
      <c r="PRZ206" s="199"/>
      <c r="PSA206" s="199"/>
      <c r="PSB206" s="199"/>
      <c r="PSC206" s="199"/>
      <c r="PSD206" s="199"/>
      <c r="PSE206" s="199"/>
      <c r="PSF206" s="199"/>
      <c r="PSG206" s="199"/>
      <c r="PSH206" s="199"/>
      <c r="PSI206" s="199"/>
      <c r="PSJ206" s="199"/>
      <c r="PSK206" s="199"/>
      <c r="PSL206" s="199"/>
      <c r="PSM206" s="199"/>
      <c r="PSN206" s="199"/>
      <c r="PSO206" s="199"/>
      <c r="PSP206" s="199"/>
      <c r="PSQ206" s="199"/>
      <c r="PSR206" s="199"/>
      <c r="PSS206" s="199"/>
      <c r="PST206" s="199"/>
      <c r="PSU206" s="199"/>
      <c r="PSV206" s="199"/>
      <c r="PSW206" s="199"/>
      <c r="PSX206" s="199"/>
      <c r="PSY206" s="199"/>
      <c r="PSZ206" s="199"/>
      <c r="PTA206" s="199"/>
      <c r="PTB206" s="199"/>
      <c r="PTC206" s="199"/>
      <c r="PTD206" s="199"/>
      <c r="PTE206" s="199"/>
      <c r="PTF206" s="199"/>
      <c r="PTG206" s="199"/>
      <c r="PTH206" s="199"/>
      <c r="PTI206" s="199"/>
      <c r="PTJ206" s="199"/>
      <c r="PTK206" s="199"/>
      <c r="PTL206" s="199"/>
      <c r="PTM206" s="199"/>
      <c r="PTN206" s="199"/>
      <c r="PTO206" s="199"/>
      <c r="PTP206" s="199"/>
      <c r="PTQ206" s="199"/>
      <c r="PTR206" s="199"/>
      <c r="PTS206" s="199"/>
      <c r="PTT206" s="199"/>
      <c r="PTU206" s="199"/>
      <c r="PTV206" s="199"/>
      <c r="PTW206" s="199"/>
      <c r="PTX206" s="199"/>
      <c r="PTY206" s="199"/>
      <c r="PTZ206" s="199"/>
      <c r="PUA206" s="199"/>
      <c r="PUB206" s="199"/>
      <c r="PUC206" s="199"/>
      <c r="PUD206" s="199"/>
      <c r="PUE206" s="199"/>
      <c r="PUF206" s="199"/>
      <c r="PUG206" s="199"/>
      <c r="PUH206" s="199"/>
      <c r="PUI206" s="199"/>
      <c r="PUJ206" s="199"/>
      <c r="PUK206" s="199"/>
      <c r="PUL206" s="199"/>
      <c r="PUM206" s="199"/>
      <c r="PUN206" s="199"/>
      <c r="PUO206" s="199"/>
      <c r="PUP206" s="199"/>
      <c r="PUQ206" s="199"/>
      <c r="PUR206" s="199"/>
      <c r="PUS206" s="199"/>
      <c r="PUT206" s="199"/>
      <c r="PUU206" s="199"/>
      <c r="PUV206" s="199"/>
      <c r="PUW206" s="199"/>
      <c r="PUX206" s="199"/>
      <c r="PUY206" s="199"/>
      <c r="PUZ206" s="199"/>
      <c r="PVA206" s="199"/>
      <c r="PVB206" s="199"/>
      <c r="PVC206" s="199"/>
      <c r="PVD206" s="199"/>
      <c r="PVE206" s="199"/>
      <c r="PVF206" s="199"/>
      <c r="PVG206" s="199"/>
      <c r="PVH206" s="199"/>
      <c r="PVI206" s="199"/>
      <c r="PVJ206" s="199"/>
      <c r="PVK206" s="199"/>
      <c r="PVL206" s="199"/>
      <c r="PVM206" s="199"/>
      <c r="PVN206" s="199"/>
      <c r="PVO206" s="199"/>
      <c r="PVP206" s="199"/>
      <c r="PVQ206" s="199"/>
      <c r="PVR206" s="199"/>
      <c r="PVS206" s="199"/>
      <c r="PVT206" s="199"/>
      <c r="PVU206" s="199"/>
      <c r="PVV206" s="199"/>
      <c r="PVW206" s="199"/>
      <c r="PVX206" s="199"/>
      <c r="PVY206" s="199"/>
      <c r="PVZ206" s="199"/>
      <c r="PWA206" s="199"/>
      <c r="PWB206" s="199"/>
      <c r="PWC206" s="199"/>
      <c r="PWD206" s="199"/>
      <c r="PWE206" s="199"/>
      <c r="PWF206" s="199"/>
      <c r="PWG206" s="199"/>
      <c r="PWH206" s="199"/>
      <c r="PWI206" s="199"/>
      <c r="PWJ206" s="199"/>
      <c r="PWK206" s="199"/>
      <c r="PWL206" s="199"/>
      <c r="PWM206" s="199"/>
      <c r="PWN206" s="199"/>
      <c r="PWO206" s="199"/>
      <c r="PWP206" s="199"/>
      <c r="PWQ206" s="199"/>
      <c r="PWR206" s="199"/>
      <c r="PWS206" s="199"/>
      <c r="PWT206" s="199"/>
      <c r="PWU206" s="199"/>
      <c r="PWV206" s="199"/>
      <c r="PWW206" s="199"/>
      <c r="PWX206" s="199"/>
      <c r="PWY206" s="199"/>
      <c r="PWZ206" s="199"/>
      <c r="PXA206" s="199"/>
      <c r="PXB206" s="199"/>
      <c r="PXC206" s="199"/>
      <c r="PXD206" s="199"/>
      <c r="PXE206" s="199"/>
      <c r="PXF206" s="199"/>
      <c r="PXG206" s="199"/>
      <c r="PXH206" s="199"/>
      <c r="PXI206" s="199"/>
      <c r="PXJ206" s="199"/>
      <c r="PXK206" s="199"/>
      <c r="PXL206" s="199"/>
      <c r="PXM206" s="199"/>
      <c r="PXN206" s="199"/>
      <c r="PXO206" s="199"/>
      <c r="PXP206" s="199"/>
      <c r="PXQ206" s="199"/>
      <c r="PXR206" s="199"/>
      <c r="PXS206" s="199"/>
      <c r="PXT206" s="199"/>
      <c r="PXU206" s="199"/>
      <c r="PXV206" s="199"/>
      <c r="PXW206" s="199"/>
      <c r="PXX206" s="199"/>
      <c r="PXY206" s="199"/>
      <c r="PXZ206" s="199"/>
      <c r="PYA206" s="199"/>
      <c r="PYB206" s="199"/>
      <c r="PYC206" s="199"/>
      <c r="PYD206" s="199"/>
      <c r="PYE206" s="199"/>
      <c r="PYF206" s="199"/>
      <c r="PYG206" s="199"/>
      <c r="PYH206" s="199"/>
      <c r="PYI206" s="199"/>
      <c r="PYJ206" s="199"/>
      <c r="PYK206" s="199"/>
      <c r="PYL206" s="199"/>
      <c r="PYM206" s="199"/>
      <c r="PYN206" s="199"/>
      <c r="PYO206" s="199"/>
      <c r="PYP206" s="199"/>
      <c r="PYQ206" s="199"/>
      <c r="PYR206" s="199"/>
      <c r="PYS206" s="199"/>
      <c r="PYT206" s="199"/>
      <c r="PYU206" s="199"/>
      <c r="PYV206" s="199"/>
      <c r="PYW206" s="199"/>
      <c r="PYX206" s="199"/>
      <c r="PYY206" s="199"/>
      <c r="PYZ206" s="199"/>
      <c r="PZA206" s="199"/>
      <c r="PZB206" s="199"/>
      <c r="PZC206" s="199"/>
      <c r="PZD206" s="199"/>
      <c r="PZE206" s="199"/>
      <c r="PZF206" s="199"/>
      <c r="PZG206" s="199"/>
      <c r="PZH206" s="199"/>
      <c r="PZI206" s="199"/>
      <c r="PZJ206" s="199"/>
      <c r="PZK206" s="199"/>
      <c r="PZL206" s="199"/>
      <c r="PZM206" s="199"/>
      <c r="PZN206" s="199"/>
      <c r="PZO206" s="199"/>
      <c r="PZP206" s="199"/>
      <c r="PZQ206" s="199"/>
      <c r="PZR206" s="199"/>
      <c r="PZS206" s="199"/>
      <c r="PZT206" s="199"/>
      <c r="PZU206" s="199"/>
      <c r="PZV206" s="199"/>
      <c r="PZW206" s="199"/>
      <c r="PZX206" s="199"/>
      <c r="PZY206" s="199"/>
      <c r="PZZ206" s="199"/>
      <c r="QAA206" s="199"/>
      <c r="QAB206" s="199"/>
      <c r="QAC206" s="199"/>
      <c r="QAD206" s="199"/>
      <c r="QAE206" s="199"/>
      <c r="QAF206" s="199"/>
      <c r="QAG206" s="199"/>
      <c r="QAH206" s="199"/>
      <c r="QAI206" s="199"/>
      <c r="QAJ206" s="199"/>
      <c r="QAK206" s="199"/>
      <c r="QAL206" s="199"/>
      <c r="QAM206" s="199"/>
      <c r="QAN206" s="199"/>
      <c r="QAO206" s="199"/>
      <c r="QAP206" s="199"/>
      <c r="QAQ206" s="199"/>
      <c r="QAR206" s="199"/>
      <c r="QAS206" s="199"/>
      <c r="QAT206" s="199"/>
      <c r="QAU206" s="199"/>
      <c r="QAV206" s="199"/>
      <c r="QAW206" s="199"/>
      <c r="QAX206" s="199"/>
      <c r="QAY206" s="199"/>
      <c r="QAZ206" s="199"/>
      <c r="QBA206" s="199"/>
      <c r="QBB206" s="199"/>
      <c r="QBC206" s="199"/>
      <c r="QBD206" s="199"/>
      <c r="QBE206" s="199"/>
      <c r="QBF206" s="199"/>
      <c r="QBG206" s="199"/>
      <c r="QBH206" s="199"/>
      <c r="QBI206" s="199"/>
      <c r="QBJ206" s="199"/>
      <c r="QBK206" s="199"/>
      <c r="QBL206" s="199"/>
      <c r="QBM206" s="199"/>
      <c r="QBN206" s="199"/>
      <c r="QBO206" s="199"/>
      <c r="QBP206" s="199"/>
      <c r="QBQ206" s="199"/>
      <c r="QBR206" s="199"/>
      <c r="QBS206" s="199"/>
      <c r="QBT206" s="199"/>
      <c r="QBU206" s="199"/>
      <c r="QBV206" s="199"/>
      <c r="QBW206" s="199"/>
      <c r="QBX206" s="199"/>
      <c r="QBY206" s="199"/>
      <c r="QBZ206" s="199"/>
      <c r="QCA206" s="199"/>
      <c r="QCB206" s="199"/>
      <c r="QCC206" s="199"/>
      <c r="QCD206" s="199"/>
      <c r="QCE206" s="199"/>
      <c r="QCF206" s="199"/>
      <c r="QCG206" s="199"/>
      <c r="QCH206" s="199"/>
      <c r="QCI206" s="199"/>
      <c r="QCJ206" s="199"/>
      <c r="QCK206" s="199"/>
      <c r="QCL206" s="199"/>
      <c r="QCM206" s="199"/>
      <c r="QCN206" s="199"/>
      <c r="QCO206" s="199"/>
      <c r="QCP206" s="199"/>
      <c r="QCQ206" s="199"/>
      <c r="QCR206" s="199"/>
      <c r="QCS206" s="199"/>
      <c r="QCT206" s="199"/>
      <c r="QCU206" s="199"/>
      <c r="QCV206" s="199"/>
      <c r="QCW206" s="199"/>
      <c r="QCX206" s="199"/>
      <c r="QCY206" s="199"/>
      <c r="QCZ206" s="199"/>
      <c r="QDA206" s="199"/>
      <c r="QDB206" s="199"/>
      <c r="QDC206" s="199"/>
      <c r="QDD206" s="199"/>
      <c r="QDE206" s="199"/>
      <c r="QDF206" s="199"/>
      <c r="QDG206" s="199"/>
      <c r="QDH206" s="199"/>
      <c r="QDI206" s="199"/>
      <c r="QDJ206" s="199"/>
      <c r="QDK206" s="199"/>
      <c r="QDL206" s="199"/>
      <c r="QDM206" s="199"/>
      <c r="QDN206" s="199"/>
      <c r="QDO206" s="199"/>
      <c r="QDP206" s="199"/>
      <c r="QDQ206" s="199"/>
      <c r="QDR206" s="199"/>
      <c r="QDS206" s="199"/>
      <c r="QDT206" s="199"/>
      <c r="QDU206" s="199"/>
      <c r="QDV206" s="199"/>
      <c r="QDW206" s="199"/>
      <c r="QDX206" s="199"/>
      <c r="QDY206" s="199"/>
      <c r="QDZ206" s="199"/>
      <c r="QEA206" s="199"/>
      <c r="QEB206" s="199"/>
      <c r="QEC206" s="199"/>
      <c r="QED206" s="199"/>
      <c r="QEE206" s="199"/>
      <c r="QEF206" s="199"/>
      <c r="QEG206" s="199"/>
      <c r="QEH206" s="199"/>
      <c r="QEI206" s="199"/>
      <c r="QEJ206" s="199"/>
      <c r="QEK206" s="199"/>
      <c r="QEL206" s="199"/>
      <c r="QEM206" s="199"/>
      <c r="QEN206" s="199"/>
      <c r="QEO206" s="199"/>
      <c r="QEP206" s="199"/>
      <c r="QEQ206" s="199"/>
      <c r="QER206" s="199"/>
      <c r="QES206" s="199"/>
      <c r="QET206" s="199"/>
      <c r="QEU206" s="199"/>
      <c r="QEV206" s="199"/>
      <c r="QEW206" s="199"/>
      <c r="QEX206" s="199"/>
      <c r="QEY206" s="199"/>
      <c r="QEZ206" s="199"/>
      <c r="QFA206" s="199"/>
      <c r="QFB206" s="199"/>
      <c r="QFC206" s="199"/>
      <c r="QFD206" s="199"/>
      <c r="QFE206" s="199"/>
      <c r="QFF206" s="199"/>
      <c r="QFG206" s="199"/>
      <c r="QFH206" s="199"/>
      <c r="QFI206" s="199"/>
      <c r="QFJ206" s="199"/>
      <c r="QFK206" s="199"/>
      <c r="QFL206" s="199"/>
      <c r="QFM206" s="199"/>
      <c r="QFN206" s="199"/>
      <c r="QFO206" s="199"/>
      <c r="QFP206" s="199"/>
      <c r="QFQ206" s="199"/>
      <c r="QFR206" s="199"/>
      <c r="QFS206" s="199"/>
      <c r="QFT206" s="199"/>
      <c r="QFU206" s="199"/>
      <c r="QFV206" s="199"/>
      <c r="QFW206" s="199"/>
      <c r="QFX206" s="199"/>
      <c r="QFY206" s="199"/>
      <c r="QFZ206" s="199"/>
      <c r="QGA206" s="199"/>
      <c r="QGB206" s="199"/>
      <c r="QGC206" s="199"/>
      <c r="QGD206" s="199"/>
      <c r="QGE206" s="199"/>
      <c r="QGF206" s="199"/>
      <c r="QGG206" s="199"/>
      <c r="QGH206" s="199"/>
      <c r="QGI206" s="199"/>
      <c r="QGJ206" s="199"/>
      <c r="QGK206" s="199"/>
      <c r="QGL206" s="199"/>
      <c r="QGM206" s="199"/>
      <c r="QGN206" s="199"/>
      <c r="QGO206" s="199"/>
      <c r="QGP206" s="199"/>
      <c r="QGQ206" s="199"/>
      <c r="QGR206" s="199"/>
      <c r="QGS206" s="199"/>
      <c r="QGT206" s="199"/>
      <c r="QGU206" s="199"/>
      <c r="QGV206" s="199"/>
      <c r="QGW206" s="199"/>
      <c r="QGX206" s="199"/>
      <c r="QGY206" s="199"/>
      <c r="QGZ206" s="199"/>
      <c r="QHA206" s="199"/>
      <c r="QHB206" s="199"/>
      <c r="QHC206" s="199"/>
      <c r="QHD206" s="199"/>
      <c r="QHE206" s="199"/>
      <c r="QHF206" s="199"/>
      <c r="QHG206" s="199"/>
      <c r="QHH206" s="199"/>
      <c r="QHI206" s="199"/>
      <c r="QHJ206" s="199"/>
      <c r="QHK206" s="199"/>
      <c r="QHL206" s="199"/>
      <c r="QHM206" s="199"/>
      <c r="QHN206" s="199"/>
      <c r="QHO206" s="199"/>
      <c r="QHP206" s="199"/>
      <c r="QHQ206" s="199"/>
      <c r="QHR206" s="199"/>
      <c r="QHS206" s="199"/>
      <c r="QHT206" s="199"/>
      <c r="QHU206" s="199"/>
      <c r="QHV206" s="199"/>
      <c r="QHW206" s="199"/>
      <c r="QHX206" s="199"/>
      <c r="QHY206" s="199"/>
      <c r="QHZ206" s="199"/>
      <c r="QIA206" s="199"/>
      <c r="QIB206" s="199"/>
      <c r="QIC206" s="199"/>
      <c r="QID206" s="199"/>
      <c r="QIE206" s="199"/>
      <c r="QIF206" s="199"/>
      <c r="QIG206" s="199"/>
      <c r="QIH206" s="199"/>
      <c r="QII206" s="199"/>
      <c r="QIJ206" s="199"/>
      <c r="QIK206" s="199"/>
      <c r="QIL206" s="199"/>
      <c r="QIM206" s="199"/>
      <c r="QIN206" s="199"/>
      <c r="QIO206" s="199"/>
      <c r="QIP206" s="199"/>
      <c r="QIQ206" s="199"/>
      <c r="QIR206" s="199"/>
      <c r="QIS206" s="199"/>
      <c r="QIT206" s="199"/>
      <c r="QIU206" s="199"/>
      <c r="QIV206" s="199"/>
      <c r="QIW206" s="199"/>
      <c r="QIX206" s="199"/>
      <c r="QIY206" s="199"/>
      <c r="QIZ206" s="199"/>
      <c r="QJA206" s="199"/>
      <c r="QJB206" s="199"/>
      <c r="QJC206" s="199"/>
      <c r="QJD206" s="199"/>
      <c r="QJE206" s="199"/>
      <c r="QJF206" s="199"/>
      <c r="QJG206" s="199"/>
      <c r="QJH206" s="199"/>
      <c r="QJI206" s="199"/>
      <c r="QJJ206" s="199"/>
      <c r="QJK206" s="199"/>
      <c r="QJL206" s="199"/>
      <c r="QJM206" s="199"/>
      <c r="QJN206" s="199"/>
      <c r="QJO206" s="199"/>
      <c r="QJP206" s="199"/>
      <c r="QJQ206" s="199"/>
      <c r="QJR206" s="199"/>
      <c r="QJS206" s="199"/>
      <c r="QJT206" s="199"/>
      <c r="QJU206" s="199"/>
      <c r="QJV206" s="199"/>
      <c r="QJW206" s="199"/>
      <c r="QJX206" s="199"/>
      <c r="QJY206" s="199"/>
      <c r="QJZ206" s="199"/>
      <c r="QKA206" s="199"/>
      <c r="QKB206" s="199"/>
      <c r="QKC206" s="199"/>
      <c r="QKD206" s="199"/>
      <c r="QKE206" s="199"/>
      <c r="QKF206" s="199"/>
      <c r="QKG206" s="199"/>
      <c r="QKH206" s="199"/>
      <c r="QKI206" s="199"/>
      <c r="QKJ206" s="199"/>
      <c r="QKK206" s="199"/>
      <c r="QKL206" s="199"/>
      <c r="QKM206" s="199"/>
      <c r="QKN206" s="199"/>
      <c r="QKO206" s="199"/>
      <c r="QKP206" s="199"/>
      <c r="QKQ206" s="199"/>
      <c r="QKR206" s="199"/>
      <c r="QKS206" s="199"/>
      <c r="QKT206" s="199"/>
      <c r="QKU206" s="199"/>
      <c r="QKV206" s="199"/>
      <c r="QKW206" s="199"/>
      <c r="QKX206" s="199"/>
      <c r="QKY206" s="199"/>
      <c r="QKZ206" s="199"/>
      <c r="QLA206" s="199"/>
      <c r="QLB206" s="199"/>
      <c r="QLC206" s="199"/>
      <c r="QLD206" s="199"/>
      <c r="QLE206" s="199"/>
      <c r="QLF206" s="199"/>
      <c r="QLG206" s="199"/>
      <c r="QLH206" s="199"/>
      <c r="QLI206" s="199"/>
      <c r="QLJ206" s="199"/>
      <c r="QLK206" s="199"/>
      <c r="QLL206" s="199"/>
      <c r="QLM206" s="199"/>
      <c r="QLN206" s="199"/>
      <c r="QLO206" s="199"/>
      <c r="QLP206" s="199"/>
      <c r="QLQ206" s="199"/>
      <c r="QLR206" s="199"/>
      <c r="QLS206" s="199"/>
      <c r="QLT206" s="199"/>
      <c r="QLU206" s="199"/>
      <c r="QLV206" s="199"/>
      <c r="QLW206" s="199"/>
      <c r="QLX206" s="199"/>
      <c r="QLY206" s="199"/>
      <c r="QLZ206" s="199"/>
      <c r="QMA206" s="199"/>
      <c r="QMB206" s="199"/>
      <c r="QMC206" s="199"/>
      <c r="QMD206" s="199"/>
      <c r="QME206" s="199"/>
      <c r="QMF206" s="199"/>
      <c r="QMG206" s="199"/>
      <c r="QMH206" s="199"/>
      <c r="QMI206" s="199"/>
      <c r="QMJ206" s="199"/>
      <c r="QMK206" s="199"/>
      <c r="QML206" s="199"/>
      <c r="QMM206" s="199"/>
      <c r="QMN206" s="199"/>
      <c r="QMO206" s="199"/>
      <c r="QMP206" s="199"/>
      <c r="QMQ206" s="199"/>
      <c r="QMR206" s="199"/>
      <c r="QMS206" s="199"/>
      <c r="QMT206" s="199"/>
      <c r="QMU206" s="199"/>
      <c r="QMV206" s="199"/>
      <c r="QMW206" s="199"/>
      <c r="QMX206" s="199"/>
      <c r="QMY206" s="199"/>
      <c r="QMZ206" s="199"/>
      <c r="QNA206" s="199"/>
      <c r="QNB206" s="199"/>
      <c r="QNC206" s="199"/>
      <c r="QND206" s="199"/>
      <c r="QNE206" s="199"/>
      <c r="QNF206" s="199"/>
      <c r="QNG206" s="199"/>
      <c r="QNH206" s="199"/>
      <c r="QNI206" s="199"/>
      <c r="QNJ206" s="199"/>
      <c r="QNK206" s="199"/>
      <c r="QNL206" s="199"/>
      <c r="QNM206" s="199"/>
      <c r="QNN206" s="199"/>
      <c r="QNO206" s="199"/>
      <c r="QNP206" s="199"/>
      <c r="QNQ206" s="199"/>
      <c r="QNR206" s="199"/>
      <c r="QNS206" s="199"/>
      <c r="QNT206" s="199"/>
      <c r="QNU206" s="199"/>
      <c r="QNV206" s="199"/>
      <c r="QNW206" s="199"/>
      <c r="QNX206" s="199"/>
      <c r="QNY206" s="199"/>
      <c r="QNZ206" s="199"/>
      <c r="QOA206" s="199"/>
      <c r="QOB206" s="199"/>
      <c r="QOC206" s="199"/>
      <c r="QOD206" s="199"/>
      <c r="QOE206" s="199"/>
      <c r="QOF206" s="199"/>
      <c r="QOG206" s="199"/>
      <c r="QOH206" s="199"/>
      <c r="QOI206" s="199"/>
      <c r="QOJ206" s="199"/>
      <c r="QOK206" s="199"/>
      <c r="QOL206" s="199"/>
      <c r="QOM206" s="199"/>
      <c r="QON206" s="199"/>
      <c r="QOO206" s="199"/>
      <c r="QOP206" s="199"/>
      <c r="QOQ206" s="199"/>
      <c r="QOR206" s="199"/>
      <c r="QOS206" s="199"/>
      <c r="QOT206" s="199"/>
      <c r="QOU206" s="199"/>
      <c r="QOV206" s="199"/>
      <c r="QOW206" s="199"/>
      <c r="QOX206" s="199"/>
      <c r="QOY206" s="199"/>
      <c r="QOZ206" s="199"/>
      <c r="QPA206" s="199"/>
      <c r="QPB206" s="199"/>
      <c r="QPC206" s="199"/>
      <c r="QPD206" s="199"/>
      <c r="QPE206" s="199"/>
      <c r="QPF206" s="199"/>
      <c r="QPG206" s="199"/>
      <c r="QPH206" s="199"/>
      <c r="QPI206" s="199"/>
      <c r="QPJ206" s="199"/>
      <c r="QPK206" s="199"/>
      <c r="QPL206" s="199"/>
      <c r="QPM206" s="199"/>
      <c r="QPN206" s="199"/>
      <c r="QPO206" s="199"/>
      <c r="QPP206" s="199"/>
      <c r="QPQ206" s="199"/>
      <c r="QPR206" s="199"/>
      <c r="QPS206" s="199"/>
      <c r="QPT206" s="199"/>
      <c r="QPU206" s="199"/>
      <c r="QPV206" s="199"/>
      <c r="QPW206" s="199"/>
      <c r="QPX206" s="199"/>
      <c r="QPY206" s="199"/>
      <c r="QPZ206" s="199"/>
      <c r="QQA206" s="199"/>
      <c r="QQB206" s="199"/>
      <c r="QQC206" s="199"/>
      <c r="QQD206" s="199"/>
      <c r="QQE206" s="199"/>
      <c r="QQF206" s="199"/>
      <c r="QQG206" s="199"/>
      <c r="QQH206" s="199"/>
      <c r="QQI206" s="199"/>
      <c r="QQJ206" s="199"/>
      <c r="QQK206" s="199"/>
      <c r="QQL206" s="199"/>
      <c r="QQM206" s="199"/>
      <c r="QQN206" s="199"/>
      <c r="QQO206" s="199"/>
      <c r="QQP206" s="199"/>
      <c r="QQQ206" s="199"/>
      <c r="QQR206" s="199"/>
      <c r="QQS206" s="199"/>
      <c r="QQT206" s="199"/>
      <c r="QQU206" s="199"/>
      <c r="QQV206" s="199"/>
      <c r="QQW206" s="199"/>
      <c r="QQX206" s="199"/>
      <c r="QQY206" s="199"/>
      <c r="QQZ206" s="199"/>
      <c r="QRA206" s="199"/>
      <c r="QRB206" s="199"/>
      <c r="QRC206" s="199"/>
      <c r="QRD206" s="199"/>
      <c r="QRE206" s="199"/>
      <c r="QRF206" s="199"/>
      <c r="QRG206" s="199"/>
      <c r="QRH206" s="199"/>
      <c r="QRI206" s="199"/>
      <c r="QRJ206" s="199"/>
      <c r="QRK206" s="199"/>
      <c r="QRL206" s="199"/>
      <c r="QRM206" s="199"/>
      <c r="QRN206" s="199"/>
      <c r="QRO206" s="199"/>
      <c r="QRP206" s="199"/>
      <c r="QRQ206" s="199"/>
      <c r="QRR206" s="199"/>
      <c r="QRS206" s="199"/>
      <c r="QRT206" s="199"/>
      <c r="QRU206" s="199"/>
      <c r="QRV206" s="199"/>
      <c r="QRW206" s="199"/>
      <c r="QRX206" s="199"/>
      <c r="QRY206" s="199"/>
      <c r="QRZ206" s="199"/>
      <c r="QSA206" s="199"/>
      <c r="QSB206" s="199"/>
      <c r="QSC206" s="199"/>
      <c r="QSD206" s="199"/>
      <c r="QSE206" s="199"/>
      <c r="QSF206" s="199"/>
      <c r="QSG206" s="199"/>
      <c r="QSH206" s="199"/>
      <c r="QSI206" s="199"/>
      <c r="QSJ206" s="199"/>
      <c r="QSK206" s="199"/>
      <c r="QSL206" s="199"/>
      <c r="QSM206" s="199"/>
      <c r="QSN206" s="199"/>
      <c r="QSO206" s="199"/>
      <c r="QSP206" s="199"/>
      <c r="QSQ206" s="199"/>
      <c r="QSR206" s="199"/>
      <c r="QSS206" s="199"/>
      <c r="QST206" s="199"/>
      <c r="QSU206" s="199"/>
      <c r="QSV206" s="199"/>
      <c r="QSW206" s="199"/>
      <c r="QSX206" s="199"/>
      <c r="QSY206" s="199"/>
      <c r="QSZ206" s="199"/>
      <c r="QTA206" s="199"/>
      <c r="QTB206" s="199"/>
      <c r="QTC206" s="199"/>
      <c r="QTD206" s="199"/>
      <c r="QTE206" s="199"/>
      <c r="QTF206" s="199"/>
      <c r="QTG206" s="199"/>
      <c r="QTH206" s="199"/>
      <c r="QTI206" s="199"/>
      <c r="QTJ206" s="199"/>
      <c r="QTK206" s="199"/>
      <c r="QTL206" s="199"/>
      <c r="QTM206" s="199"/>
      <c r="QTN206" s="199"/>
      <c r="QTO206" s="199"/>
      <c r="QTP206" s="199"/>
      <c r="QTQ206" s="199"/>
      <c r="QTR206" s="199"/>
      <c r="QTS206" s="199"/>
      <c r="QTT206" s="199"/>
      <c r="QTU206" s="199"/>
      <c r="QTV206" s="199"/>
      <c r="QTW206" s="199"/>
      <c r="QTX206" s="199"/>
      <c r="QTY206" s="199"/>
      <c r="QTZ206" s="199"/>
      <c r="QUA206" s="199"/>
      <c r="QUB206" s="199"/>
      <c r="QUC206" s="199"/>
      <c r="QUD206" s="199"/>
      <c r="QUE206" s="199"/>
      <c r="QUF206" s="199"/>
      <c r="QUG206" s="199"/>
      <c r="QUH206" s="199"/>
      <c r="QUI206" s="199"/>
      <c r="QUJ206" s="199"/>
      <c r="QUK206" s="199"/>
      <c r="QUL206" s="199"/>
      <c r="QUM206" s="199"/>
      <c r="QUN206" s="199"/>
      <c r="QUO206" s="199"/>
      <c r="QUP206" s="199"/>
      <c r="QUQ206" s="199"/>
      <c r="QUR206" s="199"/>
      <c r="QUS206" s="199"/>
      <c r="QUT206" s="199"/>
      <c r="QUU206" s="199"/>
      <c r="QUV206" s="199"/>
      <c r="QUW206" s="199"/>
      <c r="QUX206" s="199"/>
      <c r="QUY206" s="199"/>
      <c r="QUZ206" s="199"/>
      <c r="QVA206" s="199"/>
      <c r="QVB206" s="199"/>
      <c r="QVC206" s="199"/>
      <c r="QVD206" s="199"/>
      <c r="QVE206" s="199"/>
      <c r="QVF206" s="199"/>
      <c r="QVG206" s="199"/>
      <c r="QVH206" s="199"/>
      <c r="QVI206" s="199"/>
      <c r="QVJ206" s="199"/>
      <c r="QVK206" s="199"/>
      <c r="QVL206" s="199"/>
      <c r="QVM206" s="199"/>
      <c r="QVN206" s="199"/>
      <c r="QVO206" s="199"/>
      <c r="QVP206" s="199"/>
      <c r="QVQ206" s="199"/>
      <c r="QVR206" s="199"/>
      <c r="QVS206" s="199"/>
      <c r="QVT206" s="199"/>
      <c r="QVU206" s="199"/>
      <c r="QVV206" s="199"/>
      <c r="QVW206" s="199"/>
      <c r="QVX206" s="199"/>
      <c r="QVY206" s="199"/>
      <c r="QVZ206" s="199"/>
      <c r="QWA206" s="199"/>
      <c r="QWB206" s="199"/>
      <c r="QWC206" s="199"/>
      <c r="QWD206" s="199"/>
      <c r="QWE206" s="199"/>
      <c r="QWF206" s="199"/>
      <c r="QWG206" s="199"/>
      <c r="QWH206" s="199"/>
      <c r="QWI206" s="199"/>
      <c r="QWJ206" s="199"/>
      <c r="QWK206" s="199"/>
      <c r="QWL206" s="199"/>
      <c r="QWM206" s="199"/>
      <c r="QWN206" s="199"/>
      <c r="QWO206" s="199"/>
      <c r="QWP206" s="199"/>
      <c r="QWQ206" s="199"/>
      <c r="QWR206" s="199"/>
      <c r="QWS206" s="199"/>
      <c r="QWT206" s="199"/>
      <c r="QWU206" s="199"/>
      <c r="QWV206" s="199"/>
      <c r="QWW206" s="199"/>
      <c r="QWX206" s="199"/>
      <c r="QWY206" s="199"/>
      <c r="QWZ206" s="199"/>
      <c r="QXA206" s="199"/>
      <c r="QXB206" s="199"/>
      <c r="QXC206" s="199"/>
      <c r="QXD206" s="199"/>
      <c r="QXE206" s="199"/>
      <c r="QXF206" s="199"/>
      <c r="QXG206" s="199"/>
      <c r="QXH206" s="199"/>
      <c r="QXI206" s="199"/>
      <c r="QXJ206" s="199"/>
      <c r="QXK206" s="199"/>
      <c r="QXL206" s="199"/>
      <c r="QXM206" s="199"/>
      <c r="QXN206" s="199"/>
      <c r="QXO206" s="199"/>
      <c r="QXP206" s="199"/>
      <c r="QXQ206" s="199"/>
      <c r="QXR206" s="199"/>
      <c r="QXS206" s="199"/>
      <c r="QXT206" s="199"/>
      <c r="QXU206" s="199"/>
      <c r="QXV206" s="199"/>
      <c r="QXW206" s="199"/>
      <c r="QXX206" s="199"/>
      <c r="QXY206" s="199"/>
      <c r="QXZ206" s="199"/>
      <c r="QYA206" s="199"/>
      <c r="QYB206" s="199"/>
      <c r="QYC206" s="199"/>
      <c r="QYD206" s="199"/>
      <c r="QYE206" s="199"/>
      <c r="QYF206" s="199"/>
      <c r="QYG206" s="199"/>
      <c r="QYH206" s="199"/>
      <c r="QYI206" s="199"/>
      <c r="QYJ206" s="199"/>
      <c r="QYK206" s="199"/>
      <c r="QYL206" s="199"/>
      <c r="QYM206" s="199"/>
      <c r="QYN206" s="199"/>
      <c r="QYO206" s="199"/>
      <c r="QYP206" s="199"/>
      <c r="QYQ206" s="199"/>
      <c r="QYR206" s="199"/>
      <c r="QYS206" s="199"/>
      <c r="QYT206" s="199"/>
      <c r="QYU206" s="199"/>
      <c r="QYV206" s="199"/>
      <c r="QYW206" s="199"/>
      <c r="QYX206" s="199"/>
      <c r="QYY206" s="199"/>
      <c r="QYZ206" s="199"/>
      <c r="QZA206" s="199"/>
      <c r="QZB206" s="199"/>
      <c r="QZC206" s="199"/>
      <c r="QZD206" s="199"/>
      <c r="QZE206" s="199"/>
      <c r="QZF206" s="199"/>
      <c r="QZG206" s="199"/>
      <c r="QZH206" s="199"/>
      <c r="QZI206" s="199"/>
      <c r="QZJ206" s="199"/>
      <c r="QZK206" s="199"/>
      <c r="QZL206" s="199"/>
      <c r="QZM206" s="199"/>
      <c r="QZN206" s="199"/>
      <c r="QZO206" s="199"/>
      <c r="QZP206" s="199"/>
      <c r="QZQ206" s="199"/>
      <c r="QZR206" s="199"/>
      <c r="QZS206" s="199"/>
      <c r="QZT206" s="199"/>
      <c r="QZU206" s="199"/>
      <c r="QZV206" s="199"/>
      <c r="QZW206" s="199"/>
      <c r="QZX206" s="199"/>
      <c r="QZY206" s="199"/>
      <c r="QZZ206" s="199"/>
      <c r="RAA206" s="199"/>
      <c r="RAB206" s="199"/>
      <c r="RAC206" s="199"/>
      <c r="RAD206" s="199"/>
      <c r="RAE206" s="199"/>
      <c r="RAF206" s="199"/>
      <c r="RAG206" s="199"/>
      <c r="RAH206" s="199"/>
      <c r="RAI206" s="199"/>
      <c r="RAJ206" s="199"/>
      <c r="RAK206" s="199"/>
      <c r="RAL206" s="199"/>
      <c r="RAM206" s="199"/>
      <c r="RAN206" s="199"/>
      <c r="RAO206" s="199"/>
      <c r="RAP206" s="199"/>
      <c r="RAQ206" s="199"/>
      <c r="RAR206" s="199"/>
      <c r="RAS206" s="199"/>
      <c r="RAT206" s="199"/>
      <c r="RAU206" s="199"/>
      <c r="RAV206" s="199"/>
      <c r="RAW206" s="199"/>
      <c r="RAX206" s="199"/>
      <c r="RAY206" s="199"/>
      <c r="RAZ206" s="199"/>
      <c r="RBA206" s="199"/>
      <c r="RBB206" s="199"/>
      <c r="RBC206" s="199"/>
      <c r="RBD206" s="199"/>
      <c r="RBE206" s="199"/>
      <c r="RBF206" s="199"/>
      <c r="RBG206" s="199"/>
      <c r="RBH206" s="199"/>
      <c r="RBI206" s="199"/>
      <c r="RBJ206" s="199"/>
      <c r="RBK206" s="199"/>
      <c r="RBL206" s="199"/>
      <c r="RBM206" s="199"/>
      <c r="RBN206" s="199"/>
      <c r="RBO206" s="199"/>
      <c r="RBP206" s="199"/>
      <c r="RBQ206" s="199"/>
      <c r="RBR206" s="199"/>
      <c r="RBS206" s="199"/>
      <c r="RBT206" s="199"/>
      <c r="RBU206" s="199"/>
      <c r="RBV206" s="199"/>
      <c r="RBW206" s="199"/>
      <c r="RBX206" s="199"/>
      <c r="RBY206" s="199"/>
      <c r="RBZ206" s="199"/>
      <c r="RCA206" s="199"/>
      <c r="RCB206" s="199"/>
      <c r="RCC206" s="199"/>
      <c r="RCD206" s="199"/>
      <c r="RCE206" s="199"/>
      <c r="RCF206" s="199"/>
      <c r="RCG206" s="199"/>
      <c r="RCH206" s="199"/>
      <c r="RCI206" s="199"/>
      <c r="RCJ206" s="199"/>
      <c r="RCK206" s="199"/>
      <c r="RCL206" s="199"/>
      <c r="RCM206" s="199"/>
      <c r="RCN206" s="199"/>
      <c r="RCO206" s="199"/>
      <c r="RCP206" s="199"/>
      <c r="RCQ206" s="199"/>
      <c r="RCR206" s="199"/>
      <c r="RCS206" s="199"/>
      <c r="RCT206" s="199"/>
      <c r="RCU206" s="199"/>
      <c r="RCV206" s="199"/>
      <c r="RCW206" s="199"/>
      <c r="RCX206" s="199"/>
      <c r="RCY206" s="199"/>
      <c r="RCZ206" s="199"/>
      <c r="RDA206" s="199"/>
      <c r="RDB206" s="199"/>
      <c r="RDC206" s="199"/>
      <c r="RDD206" s="199"/>
      <c r="RDE206" s="199"/>
      <c r="RDF206" s="199"/>
      <c r="RDG206" s="199"/>
      <c r="RDH206" s="199"/>
      <c r="RDI206" s="199"/>
      <c r="RDJ206" s="199"/>
      <c r="RDK206" s="199"/>
      <c r="RDL206" s="199"/>
      <c r="RDM206" s="199"/>
      <c r="RDN206" s="199"/>
      <c r="RDO206" s="199"/>
      <c r="RDP206" s="199"/>
      <c r="RDQ206" s="199"/>
      <c r="RDR206" s="199"/>
      <c r="RDS206" s="199"/>
      <c r="RDT206" s="199"/>
      <c r="RDU206" s="199"/>
      <c r="RDV206" s="199"/>
      <c r="RDW206" s="199"/>
      <c r="RDX206" s="199"/>
      <c r="RDY206" s="199"/>
      <c r="RDZ206" s="199"/>
      <c r="REA206" s="199"/>
      <c r="REB206" s="199"/>
      <c r="REC206" s="199"/>
      <c r="RED206" s="199"/>
      <c r="REE206" s="199"/>
      <c r="REF206" s="199"/>
      <c r="REG206" s="199"/>
      <c r="REH206" s="199"/>
      <c r="REI206" s="199"/>
      <c r="REJ206" s="199"/>
      <c r="REK206" s="199"/>
      <c r="REL206" s="199"/>
      <c r="REM206" s="199"/>
      <c r="REN206" s="199"/>
      <c r="REO206" s="199"/>
      <c r="REP206" s="199"/>
      <c r="REQ206" s="199"/>
      <c r="RER206" s="199"/>
      <c r="RES206" s="199"/>
      <c r="RET206" s="199"/>
      <c r="REU206" s="199"/>
      <c r="REV206" s="199"/>
      <c r="REW206" s="199"/>
      <c r="REX206" s="199"/>
      <c r="REY206" s="199"/>
      <c r="REZ206" s="199"/>
      <c r="RFA206" s="199"/>
      <c r="RFB206" s="199"/>
      <c r="RFC206" s="199"/>
      <c r="RFD206" s="199"/>
      <c r="RFE206" s="199"/>
      <c r="RFF206" s="199"/>
      <c r="RFG206" s="199"/>
      <c r="RFH206" s="199"/>
      <c r="RFI206" s="199"/>
      <c r="RFJ206" s="199"/>
      <c r="RFK206" s="199"/>
      <c r="RFL206" s="199"/>
      <c r="RFM206" s="199"/>
      <c r="RFN206" s="199"/>
      <c r="RFO206" s="199"/>
      <c r="RFP206" s="199"/>
      <c r="RFQ206" s="199"/>
      <c r="RFR206" s="199"/>
      <c r="RFS206" s="199"/>
      <c r="RFT206" s="199"/>
      <c r="RFU206" s="199"/>
      <c r="RFV206" s="199"/>
      <c r="RFW206" s="199"/>
      <c r="RFX206" s="199"/>
      <c r="RFY206" s="199"/>
      <c r="RFZ206" s="199"/>
      <c r="RGA206" s="199"/>
      <c r="RGB206" s="199"/>
      <c r="RGC206" s="199"/>
      <c r="RGD206" s="199"/>
      <c r="RGE206" s="199"/>
      <c r="RGF206" s="199"/>
      <c r="RGG206" s="199"/>
      <c r="RGH206" s="199"/>
      <c r="RGI206" s="199"/>
      <c r="RGJ206" s="199"/>
      <c r="RGK206" s="199"/>
      <c r="RGL206" s="199"/>
      <c r="RGM206" s="199"/>
      <c r="RGN206" s="199"/>
      <c r="RGO206" s="199"/>
      <c r="RGP206" s="199"/>
      <c r="RGQ206" s="199"/>
      <c r="RGR206" s="199"/>
      <c r="RGS206" s="199"/>
      <c r="RGT206" s="199"/>
      <c r="RGU206" s="199"/>
      <c r="RGV206" s="199"/>
      <c r="RGW206" s="199"/>
      <c r="RGX206" s="199"/>
      <c r="RGY206" s="199"/>
      <c r="RGZ206" s="199"/>
      <c r="RHA206" s="199"/>
      <c r="RHB206" s="199"/>
      <c r="RHC206" s="199"/>
      <c r="RHD206" s="199"/>
      <c r="RHE206" s="199"/>
      <c r="RHF206" s="199"/>
      <c r="RHG206" s="199"/>
      <c r="RHH206" s="199"/>
      <c r="RHI206" s="199"/>
      <c r="RHJ206" s="199"/>
      <c r="RHK206" s="199"/>
      <c r="RHL206" s="199"/>
      <c r="RHM206" s="199"/>
      <c r="RHN206" s="199"/>
      <c r="RHO206" s="199"/>
      <c r="RHP206" s="199"/>
      <c r="RHQ206" s="199"/>
      <c r="RHR206" s="199"/>
      <c r="RHS206" s="199"/>
      <c r="RHT206" s="199"/>
      <c r="RHU206" s="199"/>
      <c r="RHV206" s="199"/>
      <c r="RHW206" s="199"/>
      <c r="RHX206" s="199"/>
      <c r="RHY206" s="199"/>
      <c r="RHZ206" s="199"/>
      <c r="RIA206" s="199"/>
      <c r="RIB206" s="199"/>
      <c r="RIC206" s="199"/>
      <c r="RID206" s="199"/>
      <c r="RIE206" s="199"/>
      <c r="RIF206" s="199"/>
      <c r="RIG206" s="199"/>
      <c r="RIH206" s="199"/>
      <c r="RII206" s="199"/>
      <c r="RIJ206" s="199"/>
      <c r="RIK206" s="199"/>
      <c r="RIL206" s="199"/>
      <c r="RIM206" s="199"/>
      <c r="RIN206" s="199"/>
      <c r="RIO206" s="199"/>
      <c r="RIP206" s="199"/>
      <c r="RIQ206" s="199"/>
      <c r="RIR206" s="199"/>
      <c r="RIS206" s="199"/>
      <c r="RIT206" s="199"/>
      <c r="RIU206" s="199"/>
      <c r="RIV206" s="199"/>
      <c r="RIW206" s="199"/>
      <c r="RIX206" s="199"/>
      <c r="RIY206" s="199"/>
      <c r="RIZ206" s="199"/>
      <c r="RJA206" s="199"/>
      <c r="RJB206" s="199"/>
      <c r="RJC206" s="199"/>
      <c r="RJD206" s="199"/>
      <c r="RJE206" s="199"/>
      <c r="RJF206" s="199"/>
      <c r="RJG206" s="199"/>
      <c r="RJH206" s="199"/>
      <c r="RJI206" s="199"/>
      <c r="RJJ206" s="199"/>
      <c r="RJK206" s="199"/>
      <c r="RJL206" s="199"/>
      <c r="RJM206" s="199"/>
      <c r="RJN206" s="199"/>
      <c r="RJO206" s="199"/>
      <c r="RJP206" s="199"/>
      <c r="RJQ206" s="199"/>
      <c r="RJR206" s="199"/>
      <c r="RJS206" s="199"/>
      <c r="RJT206" s="199"/>
      <c r="RJU206" s="199"/>
      <c r="RJV206" s="199"/>
      <c r="RJW206" s="199"/>
      <c r="RJX206" s="199"/>
      <c r="RJY206" s="199"/>
      <c r="RJZ206" s="199"/>
      <c r="RKA206" s="199"/>
      <c r="RKB206" s="199"/>
      <c r="RKC206" s="199"/>
      <c r="RKD206" s="199"/>
      <c r="RKE206" s="199"/>
      <c r="RKF206" s="199"/>
      <c r="RKG206" s="199"/>
      <c r="RKH206" s="199"/>
      <c r="RKI206" s="199"/>
      <c r="RKJ206" s="199"/>
      <c r="RKK206" s="199"/>
      <c r="RKL206" s="199"/>
      <c r="RKM206" s="199"/>
      <c r="RKN206" s="199"/>
      <c r="RKO206" s="199"/>
      <c r="RKP206" s="199"/>
      <c r="RKQ206" s="199"/>
      <c r="RKR206" s="199"/>
      <c r="RKS206" s="199"/>
      <c r="RKT206" s="199"/>
      <c r="RKU206" s="199"/>
      <c r="RKV206" s="199"/>
      <c r="RKW206" s="199"/>
      <c r="RKX206" s="199"/>
      <c r="RKY206" s="199"/>
      <c r="RKZ206" s="199"/>
      <c r="RLA206" s="199"/>
      <c r="RLB206" s="199"/>
      <c r="RLC206" s="199"/>
      <c r="RLD206" s="199"/>
      <c r="RLE206" s="199"/>
      <c r="RLF206" s="199"/>
      <c r="RLG206" s="199"/>
      <c r="RLH206" s="199"/>
      <c r="RLI206" s="199"/>
      <c r="RLJ206" s="199"/>
      <c r="RLK206" s="199"/>
      <c r="RLL206" s="199"/>
      <c r="RLM206" s="199"/>
      <c r="RLN206" s="199"/>
      <c r="RLO206" s="199"/>
      <c r="RLP206" s="199"/>
      <c r="RLQ206" s="199"/>
      <c r="RLR206" s="199"/>
      <c r="RLS206" s="199"/>
      <c r="RLT206" s="199"/>
      <c r="RLU206" s="199"/>
      <c r="RLV206" s="199"/>
      <c r="RLW206" s="199"/>
      <c r="RLX206" s="199"/>
      <c r="RLY206" s="199"/>
      <c r="RLZ206" s="199"/>
      <c r="RMA206" s="199"/>
      <c r="RMB206" s="199"/>
      <c r="RMC206" s="199"/>
      <c r="RMD206" s="199"/>
      <c r="RME206" s="199"/>
      <c r="RMF206" s="199"/>
      <c r="RMG206" s="199"/>
      <c r="RMH206" s="199"/>
      <c r="RMI206" s="199"/>
      <c r="RMJ206" s="199"/>
      <c r="RMK206" s="199"/>
      <c r="RML206" s="199"/>
      <c r="RMM206" s="199"/>
      <c r="RMN206" s="199"/>
      <c r="RMO206" s="199"/>
      <c r="RMP206" s="199"/>
      <c r="RMQ206" s="199"/>
      <c r="RMR206" s="199"/>
      <c r="RMS206" s="199"/>
      <c r="RMT206" s="199"/>
      <c r="RMU206" s="199"/>
      <c r="RMV206" s="199"/>
      <c r="RMW206" s="199"/>
      <c r="RMX206" s="199"/>
      <c r="RMY206" s="199"/>
      <c r="RMZ206" s="199"/>
      <c r="RNA206" s="199"/>
      <c r="RNB206" s="199"/>
      <c r="RNC206" s="199"/>
      <c r="RND206" s="199"/>
      <c r="RNE206" s="199"/>
      <c r="RNF206" s="199"/>
      <c r="RNG206" s="199"/>
      <c r="RNH206" s="199"/>
      <c r="RNI206" s="199"/>
      <c r="RNJ206" s="199"/>
      <c r="RNK206" s="199"/>
      <c r="RNL206" s="199"/>
      <c r="RNM206" s="199"/>
      <c r="RNN206" s="199"/>
      <c r="RNO206" s="199"/>
      <c r="RNP206" s="199"/>
      <c r="RNQ206" s="199"/>
      <c r="RNR206" s="199"/>
      <c r="RNS206" s="199"/>
      <c r="RNT206" s="199"/>
      <c r="RNU206" s="199"/>
      <c r="RNV206" s="199"/>
      <c r="RNW206" s="199"/>
      <c r="RNX206" s="199"/>
      <c r="RNY206" s="199"/>
      <c r="RNZ206" s="199"/>
      <c r="ROA206" s="199"/>
      <c r="ROB206" s="199"/>
      <c r="ROC206" s="199"/>
      <c r="ROD206" s="199"/>
      <c r="ROE206" s="199"/>
      <c r="ROF206" s="199"/>
      <c r="ROG206" s="199"/>
      <c r="ROH206" s="199"/>
      <c r="ROI206" s="199"/>
      <c r="ROJ206" s="199"/>
      <c r="ROK206" s="199"/>
      <c r="ROL206" s="199"/>
      <c r="ROM206" s="199"/>
      <c r="RON206" s="199"/>
      <c r="ROO206" s="199"/>
      <c r="ROP206" s="199"/>
      <c r="ROQ206" s="199"/>
      <c r="ROR206" s="199"/>
      <c r="ROS206" s="199"/>
      <c r="ROT206" s="199"/>
      <c r="ROU206" s="199"/>
      <c r="ROV206" s="199"/>
      <c r="ROW206" s="199"/>
      <c r="ROX206" s="199"/>
      <c r="ROY206" s="199"/>
      <c r="ROZ206" s="199"/>
      <c r="RPA206" s="199"/>
      <c r="RPB206" s="199"/>
      <c r="RPC206" s="199"/>
      <c r="RPD206" s="199"/>
      <c r="RPE206" s="199"/>
      <c r="RPF206" s="199"/>
      <c r="RPG206" s="199"/>
      <c r="RPH206" s="199"/>
      <c r="RPI206" s="199"/>
      <c r="RPJ206" s="199"/>
      <c r="RPK206" s="199"/>
      <c r="RPL206" s="199"/>
      <c r="RPM206" s="199"/>
      <c r="RPN206" s="199"/>
      <c r="RPO206" s="199"/>
      <c r="RPP206" s="199"/>
      <c r="RPQ206" s="199"/>
      <c r="RPR206" s="199"/>
      <c r="RPS206" s="199"/>
      <c r="RPT206" s="199"/>
      <c r="RPU206" s="199"/>
      <c r="RPV206" s="199"/>
      <c r="RPW206" s="199"/>
      <c r="RPX206" s="199"/>
      <c r="RPY206" s="199"/>
      <c r="RPZ206" s="199"/>
      <c r="RQA206" s="199"/>
      <c r="RQB206" s="199"/>
      <c r="RQC206" s="199"/>
      <c r="RQD206" s="199"/>
      <c r="RQE206" s="199"/>
      <c r="RQF206" s="199"/>
      <c r="RQG206" s="199"/>
      <c r="RQH206" s="199"/>
      <c r="RQI206" s="199"/>
      <c r="RQJ206" s="199"/>
      <c r="RQK206" s="199"/>
      <c r="RQL206" s="199"/>
      <c r="RQM206" s="199"/>
      <c r="RQN206" s="199"/>
      <c r="RQO206" s="199"/>
      <c r="RQP206" s="199"/>
      <c r="RQQ206" s="199"/>
      <c r="RQR206" s="199"/>
      <c r="RQS206" s="199"/>
      <c r="RQT206" s="199"/>
      <c r="RQU206" s="199"/>
      <c r="RQV206" s="199"/>
      <c r="RQW206" s="199"/>
      <c r="RQX206" s="199"/>
      <c r="RQY206" s="199"/>
      <c r="RQZ206" s="199"/>
      <c r="RRA206" s="199"/>
      <c r="RRB206" s="199"/>
      <c r="RRC206" s="199"/>
      <c r="RRD206" s="199"/>
      <c r="RRE206" s="199"/>
      <c r="RRF206" s="199"/>
      <c r="RRG206" s="199"/>
      <c r="RRH206" s="199"/>
      <c r="RRI206" s="199"/>
      <c r="RRJ206" s="199"/>
      <c r="RRK206" s="199"/>
      <c r="RRL206" s="199"/>
      <c r="RRM206" s="199"/>
      <c r="RRN206" s="199"/>
      <c r="RRO206" s="199"/>
      <c r="RRP206" s="199"/>
      <c r="RRQ206" s="199"/>
      <c r="RRR206" s="199"/>
      <c r="RRS206" s="199"/>
      <c r="RRT206" s="199"/>
      <c r="RRU206" s="199"/>
      <c r="RRV206" s="199"/>
      <c r="RRW206" s="199"/>
      <c r="RRX206" s="199"/>
      <c r="RRY206" s="199"/>
      <c r="RRZ206" s="199"/>
      <c r="RSA206" s="199"/>
      <c r="RSB206" s="199"/>
      <c r="RSC206" s="199"/>
      <c r="RSD206" s="199"/>
      <c r="RSE206" s="199"/>
      <c r="RSF206" s="199"/>
      <c r="RSG206" s="199"/>
      <c r="RSH206" s="199"/>
      <c r="RSI206" s="199"/>
      <c r="RSJ206" s="199"/>
      <c r="RSK206" s="199"/>
      <c r="RSL206" s="199"/>
      <c r="RSM206" s="199"/>
      <c r="RSN206" s="199"/>
      <c r="RSO206" s="199"/>
      <c r="RSP206" s="199"/>
      <c r="RSQ206" s="199"/>
      <c r="RSR206" s="199"/>
      <c r="RSS206" s="199"/>
      <c r="RST206" s="199"/>
      <c r="RSU206" s="199"/>
      <c r="RSV206" s="199"/>
      <c r="RSW206" s="199"/>
      <c r="RSX206" s="199"/>
      <c r="RSY206" s="199"/>
      <c r="RSZ206" s="199"/>
      <c r="RTA206" s="199"/>
      <c r="RTB206" s="199"/>
      <c r="RTC206" s="199"/>
      <c r="RTD206" s="199"/>
      <c r="RTE206" s="199"/>
      <c r="RTF206" s="199"/>
      <c r="RTG206" s="199"/>
      <c r="RTH206" s="199"/>
      <c r="RTI206" s="199"/>
      <c r="RTJ206" s="199"/>
      <c r="RTK206" s="199"/>
      <c r="RTL206" s="199"/>
    </row>
    <row r="207" spans="1:12700" s="197" customFormat="1" ht="68.25" customHeight="1" x14ac:dyDescent="0.25">
      <c r="A207" s="7"/>
      <c r="B207" s="7"/>
      <c r="C207" s="526" t="s">
        <v>193</v>
      </c>
      <c r="D207" s="526"/>
      <c r="E207" s="526"/>
      <c r="F207" s="526"/>
      <c r="G207" s="526"/>
      <c r="H207" s="526"/>
      <c r="I207" s="526"/>
      <c r="J207" s="526"/>
      <c r="K207" s="526"/>
      <c r="L207" s="526"/>
      <c r="M207" s="526" t="s">
        <v>213</v>
      </c>
      <c r="N207" s="526"/>
      <c r="O207" s="526"/>
      <c r="P207" s="526"/>
      <c r="Q207" s="526"/>
      <c r="R207" s="526"/>
      <c r="S207" s="526"/>
      <c r="T207" s="526"/>
      <c r="U207" s="526"/>
      <c r="V207" s="526"/>
      <c r="W207" s="526"/>
      <c r="X207" s="526"/>
      <c r="Y207" s="526"/>
      <c r="Z207" s="526"/>
      <c r="AA207" s="526"/>
      <c r="AB207" s="526"/>
      <c r="AC207" s="526"/>
      <c r="AD207" s="526"/>
      <c r="AE207" s="526"/>
      <c r="AF207" s="526"/>
      <c r="AG207" s="526"/>
      <c r="AH207" s="526"/>
      <c r="AI207" s="526"/>
      <c r="AJ207" s="526"/>
      <c r="AK207" s="526"/>
      <c r="AL207" s="526"/>
      <c r="AM207" s="526"/>
      <c r="AN207" s="541">
        <f>VLOOKUP("УТ-00042035",'Выгрузка из 1С'!$B$4:$K$1988,10,FALSE)</f>
        <v>82800</v>
      </c>
      <c r="AO207" s="542"/>
      <c r="AP207" s="542"/>
      <c r="AQ207" s="542"/>
      <c r="AR207" s="542"/>
      <c r="AS207" s="542"/>
      <c r="AT207" s="199"/>
      <c r="AU207" s="199"/>
      <c r="AV207" s="199"/>
      <c r="AW207" s="199"/>
      <c r="AX207" s="199"/>
      <c r="AY207" s="199"/>
      <c r="AZ207" s="199"/>
      <c r="BA207" s="199"/>
      <c r="BB207" s="199"/>
      <c r="BC207" s="199"/>
      <c r="BD207" s="199"/>
      <c r="BE207" s="199"/>
      <c r="BF207" s="199"/>
      <c r="BG207" s="199"/>
      <c r="BH207" s="199"/>
      <c r="BI207" s="199"/>
      <c r="BJ207" s="199"/>
      <c r="BK207" s="199"/>
      <c r="BL207" s="199"/>
      <c r="BM207" s="199"/>
      <c r="BN207" s="199"/>
      <c r="BO207" s="199"/>
      <c r="BP207" s="199"/>
      <c r="BQ207" s="199"/>
      <c r="BR207" s="199"/>
      <c r="BS207" s="199"/>
      <c r="BT207" s="199"/>
      <c r="BU207" s="199"/>
      <c r="BV207" s="199"/>
      <c r="BW207" s="199"/>
      <c r="BX207" s="199"/>
      <c r="BY207" s="199"/>
      <c r="BZ207" s="199"/>
      <c r="CA207" s="199"/>
      <c r="CB207" s="199"/>
      <c r="CC207" s="199"/>
      <c r="CD207" s="199"/>
      <c r="CE207" s="199"/>
      <c r="CF207" s="199"/>
      <c r="CG207" s="199"/>
      <c r="CH207" s="199"/>
      <c r="CI207" s="199"/>
      <c r="CJ207" s="199"/>
      <c r="CK207" s="199"/>
      <c r="CL207" s="199"/>
      <c r="CM207" s="199"/>
      <c r="CN207" s="199"/>
      <c r="CO207" s="199"/>
      <c r="CP207" s="199"/>
      <c r="CQ207" s="199"/>
      <c r="CR207" s="199"/>
      <c r="CS207" s="199"/>
      <c r="CT207" s="199"/>
      <c r="CU207" s="199"/>
      <c r="CV207" s="199"/>
      <c r="CW207" s="199"/>
      <c r="CX207" s="199"/>
      <c r="CY207" s="199"/>
      <c r="CZ207" s="199"/>
      <c r="DA207" s="199"/>
      <c r="DB207" s="199"/>
      <c r="DC207" s="199"/>
      <c r="DD207" s="199"/>
      <c r="DE207" s="199"/>
      <c r="DF207" s="199"/>
      <c r="DG207" s="199"/>
      <c r="DH207" s="199"/>
      <c r="DI207" s="199"/>
      <c r="DJ207" s="199"/>
      <c r="DK207" s="199"/>
      <c r="DL207" s="199"/>
      <c r="DM207" s="199"/>
      <c r="DN207" s="199"/>
      <c r="DO207" s="199"/>
      <c r="DP207" s="199"/>
      <c r="DQ207" s="199"/>
      <c r="DR207" s="199"/>
      <c r="DS207" s="199"/>
      <c r="DT207" s="199"/>
      <c r="DU207" s="199"/>
      <c r="DV207" s="199"/>
      <c r="DW207" s="199"/>
      <c r="DX207" s="199"/>
      <c r="DY207" s="199"/>
      <c r="DZ207" s="199"/>
      <c r="EA207" s="199"/>
      <c r="EB207" s="199"/>
      <c r="EC207" s="199"/>
      <c r="ED207" s="199"/>
      <c r="EE207" s="199"/>
      <c r="EF207" s="199"/>
      <c r="EG207" s="199"/>
      <c r="EH207" s="199"/>
      <c r="EI207" s="199"/>
      <c r="EJ207" s="199"/>
      <c r="EK207" s="199"/>
      <c r="EL207" s="199"/>
      <c r="EM207" s="199"/>
      <c r="EN207" s="199"/>
      <c r="EO207" s="199"/>
      <c r="EP207" s="199"/>
      <c r="EQ207" s="199"/>
      <c r="ER207" s="199"/>
      <c r="ES207" s="199"/>
      <c r="ET207" s="199"/>
      <c r="EU207" s="199"/>
      <c r="EV207" s="199"/>
      <c r="EW207" s="199"/>
      <c r="EX207" s="199"/>
      <c r="EY207" s="199"/>
      <c r="EZ207" s="199"/>
      <c r="FA207" s="199"/>
      <c r="FB207" s="199"/>
      <c r="FC207" s="199"/>
      <c r="FD207" s="199"/>
      <c r="FE207" s="199"/>
      <c r="FF207" s="199"/>
      <c r="FG207" s="199"/>
      <c r="FH207" s="199"/>
      <c r="FI207" s="199"/>
      <c r="FJ207" s="199"/>
      <c r="FK207" s="199"/>
      <c r="FL207" s="199"/>
      <c r="FM207" s="199"/>
      <c r="FN207" s="199"/>
      <c r="FO207" s="199"/>
      <c r="FP207" s="199"/>
      <c r="FQ207" s="199"/>
      <c r="FR207" s="199"/>
      <c r="FS207" s="199"/>
      <c r="FT207" s="199"/>
      <c r="FU207" s="199"/>
      <c r="FV207" s="199"/>
      <c r="FW207" s="199"/>
      <c r="FX207" s="199"/>
      <c r="FY207" s="199"/>
      <c r="FZ207" s="199"/>
      <c r="GA207" s="199"/>
      <c r="GB207" s="199"/>
      <c r="GC207" s="199"/>
      <c r="GD207" s="199"/>
      <c r="GE207" s="199"/>
      <c r="GF207" s="199"/>
      <c r="GG207" s="199"/>
      <c r="GH207" s="199"/>
      <c r="GI207" s="199"/>
      <c r="GJ207" s="199"/>
      <c r="GK207" s="199"/>
      <c r="GL207" s="199"/>
      <c r="GM207" s="199"/>
      <c r="GN207" s="199"/>
      <c r="GO207" s="199"/>
      <c r="GP207" s="199"/>
      <c r="GQ207" s="199"/>
      <c r="GR207" s="199"/>
      <c r="GS207" s="199"/>
      <c r="GT207" s="199"/>
      <c r="GU207" s="199"/>
      <c r="GV207" s="199"/>
      <c r="GW207" s="199"/>
      <c r="GX207" s="199"/>
      <c r="GY207" s="199"/>
      <c r="GZ207" s="199"/>
      <c r="HA207" s="199"/>
      <c r="HB207" s="199"/>
      <c r="HC207" s="199"/>
      <c r="HD207" s="199"/>
      <c r="HE207" s="199"/>
      <c r="HF207" s="199"/>
      <c r="HG207" s="199"/>
      <c r="HH207" s="199"/>
      <c r="HI207" s="199"/>
      <c r="HJ207" s="199"/>
      <c r="HK207" s="199"/>
      <c r="HL207" s="199"/>
      <c r="HM207" s="199"/>
      <c r="HN207" s="199"/>
      <c r="HO207" s="199"/>
      <c r="HP207" s="199"/>
      <c r="HQ207" s="199"/>
      <c r="HR207" s="199"/>
      <c r="HS207" s="199"/>
      <c r="HT207" s="199"/>
      <c r="HU207" s="199"/>
      <c r="HV207" s="199"/>
      <c r="HW207" s="199"/>
      <c r="HX207" s="199"/>
      <c r="HY207" s="199"/>
      <c r="HZ207" s="199"/>
      <c r="IA207" s="199"/>
      <c r="IB207" s="199"/>
      <c r="IC207" s="199"/>
      <c r="ID207" s="199"/>
      <c r="IE207" s="199"/>
      <c r="IF207" s="199"/>
      <c r="IG207" s="199"/>
      <c r="IH207" s="199"/>
      <c r="II207" s="199"/>
      <c r="IJ207" s="199"/>
      <c r="IK207" s="199"/>
      <c r="IL207" s="199"/>
      <c r="IM207" s="199"/>
      <c r="IN207" s="199"/>
      <c r="IO207" s="199"/>
      <c r="IP207" s="199"/>
      <c r="IQ207" s="199"/>
      <c r="IR207" s="199"/>
      <c r="IS207" s="199"/>
      <c r="IT207" s="199"/>
      <c r="IU207" s="199"/>
      <c r="IV207" s="199"/>
      <c r="IW207" s="199"/>
      <c r="IX207" s="199"/>
      <c r="IY207" s="199"/>
      <c r="IZ207" s="199"/>
      <c r="JA207" s="199"/>
      <c r="JB207" s="199"/>
      <c r="JC207" s="199"/>
      <c r="JD207" s="199"/>
      <c r="JE207" s="199"/>
      <c r="JF207" s="199"/>
      <c r="JG207" s="199"/>
      <c r="JH207" s="199"/>
      <c r="JI207" s="199"/>
      <c r="JJ207" s="199"/>
      <c r="JK207" s="199"/>
      <c r="JL207" s="199"/>
      <c r="JM207" s="199"/>
      <c r="JN207" s="199"/>
      <c r="JO207" s="199"/>
      <c r="JP207" s="199"/>
      <c r="JQ207" s="199"/>
      <c r="JR207" s="199"/>
      <c r="JS207" s="199"/>
      <c r="JT207" s="199"/>
      <c r="JU207" s="199"/>
      <c r="JV207" s="199"/>
      <c r="JW207" s="199"/>
      <c r="JX207" s="199"/>
      <c r="JY207" s="199"/>
      <c r="JZ207" s="199"/>
      <c r="KA207" s="199"/>
      <c r="KB207" s="199"/>
      <c r="KC207" s="199"/>
      <c r="KD207" s="199"/>
      <c r="KE207" s="199"/>
      <c r="KF207" s="199"/>
      <c r="KG207" s="199"/>
      <c r="KH207" s="199"/>
      <c r="KI207" s="199"/>
      <c r="KJ207" s="199"/>
      <c r="KK207" s="199"/>
      <c r="KL207" s="199"/>
      <c r="KM207" s="199"/>
      <c r="KN207" s="199"/>
      <c r="KO207" s="199"/>
      <c r="KP207" s="199"/>
      <c r="KQ207" s="199"/>
      <c r="KR207" s="199"/>
      <c r="KS207" s="199"/>
      <c r="KT207" s="199"/>
      <c r="KU207" s="199"/>
      <c r="KV207" s="199"/>
      <c r="KW207" s="199"/>
      <c r="KX207" s="199"/>
      <c r="KY207" s="199"/>
      <c r="KZ207" s="199"/>
      <c r="LA207" s="199"/>
      <c r="LB207" s="199"/>
      <c r="LC207" s="199"/>
      <c r="LD207" s="199"/>
      <c r="LE207" s="199"/>
      <c r="LF207" s="199"/>
      <c r="LG207" s="199"/>
      <c r="LH207" s="199"/>
      <c r="LI207" s="199"/>
      <c r="LJ207" s="199"/>
      <c r="LK207" s="199"/>
      <c r="LL207" s="199"/>
      <c r="LM207" s="199"/>
      <c r="LN207" s="199"/>
      <c r="LO207" s="199"/>
      <c r="LP207" s="199"/>
      <c r="LQ207" s="199"/>
      <c r="LR207" s="199"/>
      <c r="LS207" s="199"/>
      <c r="LT207" s="199"/>
      <c r="LU207" s="199"/>
      <c r="LV207" s="199"/>
      <c r="LW207" s="199"/>
      <c r="LX207" s="199"/>
      <c r="LY207" s="199"/>
      <c r="LZ207" s="199"/>
      <c r="MA207" s="199"/>
      <c r="MB207" s="199"/>
      <c r="MC207" s="199"/>
      <c r="MD207" s="199"/>
      <c r="ME207" s="199"/>
      <c r="MF207" s="199"/>
      <c r="MG207" s="199"/>
      <c r="MH207" s="199"/>
      <c r="MI207" s="199"/>
      <c r="MJ207" s="199"/>
      <c r="MK207" s="199"/>
      <c r="ML207" s="199"/>
      <c r="MM207" s="199"/>
      <c r="MN207" s="199"/>
      <c r="MO207" s="199"/>
      <c r="MP207" s="199"/>
      <c r="MQ207" s="199"/>
      <c r="MR207" s="199"/>
      <c r="MS207" s="199"/>
      <c r="MT207" s="199"/>
      <c r="MU207" s="199"/>
      <c r="MV207" s="199"/>
      <c r="MW207" s="199"/>
      <c r="MX207" s="199"/>
      <c r="MY207" s="199"/>
      <c r="MZ207" s="199"/>
      <c r="NA207" s="199"/>
      <c r="NB207" s="199"/>
      <c r="NC207" s="199"/>
      <c r="ND207" s="199"/>
      <c r="NE207" s="199"/>
      <c r="NF207" s="199"/>
      <c r="NG207" s="199"/>
      <c r="NH207" s="199"/>
      <c r="NI207" s="199"/>
      <c r="NJ207" s="199"/>
      <c r="NK207" s="199"/>
      <c r="NL207" s="199"/>
      <c r="NM207" s="199"/>
      <c r="NN207" s="199"/>
      <c r="NO207" s="199"/>
      <c r="NP207" s="199"/>
      <c r="NQ207" s="199"/>
      <c r="NR207" s="199"/>
      <c r="NS207" s="199"/>
      <c r="NT207" s="199"/>
      <c r="NU207" s="199"/>
      <c r="NV207" s="199"/>
      <c r="NW207" s="199"/>
      <c r="NX207" s="199"/>
      <c r="NY207" s="199"/>
      <c r="NZ207" s="199"/>
      <c r="OA207" s="199"/>
      <c r="OB207" s="199"/>
      <c r="OC207" s="199"/>
      <c r="OD207" s="199"/>
      <c r="OE207" s="199"/>
      <c r="OF207" s="199"/>
      <c r="OG207" s="199"/>
      <c r="OH207" s="199"/>
      <c r="OI207" s="199"/>
      <c r="OJ207" s="199"/>
      <c r="OK207" s="199"/>
      <c r="OL207" s="199"/>
      <c r="OM207" s="199"/>
      <c r="ON207" s="199"/>
      <c r="OO207" s="199"/>
      <c r="OP207" s="199"/>
      <c r="OQ207" s="199"/>
      <c r="OR207" s="199"/>
      <c r="OS207" s="199"/>
      <c r="OT207" s="199"/>
      <c r="OU207" s="199"/>
      <c r="OV207" s="199"/>
      <c r="OW207" s="199"/>
      <c r="OX207" s="199"/>
      <c r="OY207" s="199"/>
      <c r="OZ207" s="199"/>
      <c r="PA207" s="199"/>
      <c r="PB207" s="199"/>
      <c r="PC207" s="199"/>
      <c r="PD207" s="199"/>
      <c r="PE207" s="199"/>
      <c r="PF207" s="199"/>
      <c r="PG207" s="199"/>
      <c r="PH207" s="199"/>
      <c r="PI207" s="199"/>
      <c r="PJ207" s="199"/>
      <c r="PK207" s="199"/>
      <c r="PL207" s="199"/>
      <c r="PM207" s="199"/>
      <c r="PN207" s="199"/>
      <c r="PO207" s="199"/>
      <c r="PP207" s="199"/>
      <c r="PQ207" s="199"/>
      <c r="PR207" s="199"/>
      <c r="PS207" s="199"/>
      <c r="PT207" s="199"/>
      <c r="PU207" s="199"/>
      <c r="PV207" s="199"/>
      <c r="PW207" s="199"/>
      <c r="PX207" s="199"/>
      <c r="PY207" s="199"/>
      <c r="PZ207" s="199"/>
      <c r="QA207" s="199"/>
      <c r="QB207" s="199"/>
      <c r="QC207" s="199"/>
      <c r="QD207" s="199"/>
      <c r="QE207" s="199"/>
      <c r="QF207" s="199"/>
      <c r="QG207" s="199"/>
      <c r="QH207" s="199"/>
      <c r="QI207" s="199"/>
      <c r="QJ207" s="199"/>
      <c r="QK207" s="199"/>
      <c r="QL207" s="199"/>
      <c r="QM207" s="199"/>
      <c r="QN207" s="199"/>
      <c r="QO207" s="199"/>
      <c r="QP207" s="199"/>
      <c r="QQ207" s="199"/>
      <c r="QR207" s="199"/>
      <c r="QS207" s="199"/>
      <c r="QT207" s="199"/>
      <c r="QU207" s="199"/>
      <c r="QV207" s="199"/>
      <c r="QW207" s="199"/>
      <c r="QX207" s="199"/>
      <c r="QY207" s="199"/>
      <c r="QZ207" s="199"/>
      <c r="RA207" s="199"/>
      <c r="RB207" s="199"/>
      <c r="RC207" s="199"/>
      <c r="RD207" s="199"/>
      <c r="RE207" s="199"/>
      <c r="RF207" s="199"/>
      <c r="RG207" s="199"/>
      <c r="RH207" s="199"/>
      <c r="RI207" s="199"/>
      <c r="RJ207" s="199"/>
      <c r="RK207" s="199"/>
      <c r="RL207" s="199"/>
      <c r="RM207" s="199"/>
      <c r="RN207" s="199"/>
      <c r="RO207" s="199"/>
      <c r="RP207" s="199"/>
      <c r="RQ207" s="199"/>
      <c r="RR207" s="199"/>
      <c r="RS207" s="199"/>
      <c r="RT207" s="199"/>
      <c r="RU207" s="199"/>
      <c r="RV207" s="199"/>
      <c r="RW207" s="199"/>
      <c r="RX207" s="199"/>
      <c r="RY207" s="199"/>
      <c r="RZ207" s="199"/>
      <c r="SA207" s="199"/>
      <c r="SB207" s="199"/>
      <c r="SC207" s="199"/>
      <c r="SD207" s="199"/>
      <c r="SE207" s="199"/>
      <c r="SF207" s="199"/>
      <c r="SG207" s="199"/>
      <c r="SH207" s="199"/>
      <c r="SI207" s="199"/>
      <c r="SJ207" s="199"/>
      <c r="SK207" s="199"/>
      <c r="SL207" s="199"/>
      <c r="SM207" s="199"/>
      <c r="SN207" s="199"/>
      <c r="SO207" s="199"/>
      <c r="SP207" s="199"/>
      <c r="SQ207" s="199"/>
      <c r="SR207" s="199"/>
      <c r="SS207" s="199"/>
      <c r="ST207" s="199"/>
      <c r="SU207" s="199"/>
      <c r="SV207" s="199"/>
      <c r="SW207" s="199"/>
      <c r="SX207" s="199"/>
      <c r="SY207" s="199"/>
      <c r="SZ207" s="199"/>
      <c r="TA207" s="199"/>
      <c r="TB207" s="199"/>
      <c r="TC207" s="199"/>
      <c r="TD207" s="199"/>
      <c r="TE207" s="199"/>
      <c r="TF207" s="199"/>
      <c r="TG207" s="199"/>
      <c r="TH207" s="199"/>
      <c r="TI207" s="199"/>
      <c r="TJ207" s="199"/>
      <c r="TK207" s="199"/>
      <c r="TL207" s="199"/>
      <c r="TM207" s="199"/>
      <c r="TN207" s="199"/>
      <c r="TO207" s="199"/>
      <c r="TP207" s="199"/>
      <c r="TQ207" s="199"/>
      <c r="TR207" s="199"/>
      <c r="TS207" s="199"/>
      <c r="TT207" s="199"/>
      <c r="TU207" s="199"/>
      <c r="TV207" s="199"/>
      <c r="TW207" s="199"/>
      <c r="TX207" s="199"/>
      <c r="TY207" s="199"/>
      <c r="TZ207" s="199"/>
      <c r="UA207" s="199"/>
      <c r="UB207" s="199"/>
      <c r="UC207" s="199"/>
      <c r="UD207" s="199"/>
      <c r="UE207" s="199"/>
      <c r="UF207" s="199"/>
      <c r="UG207" s="199"/>
      <c r="UH207" s="199"/>
      <c r="UI207" s="199"/>
      <c r="UJ207" s="199"/>
      <c r="UK207" s="199"/>
      <c r="UL207" s="199"/>
      <c r="UM207" s="199"/>
      <c r="UN207" s="199"/>
      <c r="UO207" s="199"/>
      <c r="UP207" s="199"/>
      <c r="UQ207" s="199"/>
      <c r="UR207" s="199"/>
      <c r="US207" s="199"/>
      <c r="UT207" s="199"/>
      <c r="UU207" s="199"/>
      <c r="UV207" s="199"/>
      <c r="UW207" s="199"/>
      <c r="UX207" s="199"/>
      <c r="UY207" s="199"/>
      <c r="UZ207" s="199"/>
      <c r="VA207" s="199"/>
      <c r="VB207" s="199"/>
      <c r="VC207" s="199"/>
      <c r="VD207" s="199"/>
      <c r="VE207" s="199"/>
      <c r="VF207" s="199"/>
      <c r="VG207" s="199"/>
      <c r="VH207" s="199"/>
      <c r="VI207" s="199"/>
      <c r="VJ207" s="199"/>
      <c r="VK207" s="199"/>
      <c r="VL207" s="199"/>
      <c r="VM207" s="199"/>
      <c r="VN207" s="199"/>
      <c r="VO207" s="199"/>
      <c r="VP207" s="199"/>
      <c r="VQ207" s="199"/>
      <c r="VR207" s="199"/>
      <c r="VS207" s="199"/>
      <c r="VT207" s="199"/>
      <c r="VU207" s="199"/>
      <c r="VV207" s="199"/>
      <c r="VW207" s="199"/>
      <c r="VX207" s="199"/>
      <c r="VY207" s="199"/>
      <c r="VZ207" s="199"/>
      <c r="WA207" s="199"/>
      <c r="WB207" s="199"/>
      <c r="WC207" s="199"/>
      <c r="WD207" s="199"/>
      <c r="WE207" s="199"/>
      <c r="WF207" s="199"/>
      <c r="WG207" s="199"/>
      <c r="WH207" s="199"/>
      <c r="WI207" s="199"/>
      <c r="WJ207" s="199"/>
      <c r="WK207" s="199"/>
      <c r="WL207" s="199"/>
      <c r="WM207" s="199"/>
      <c r="WN207" s="199"/>
      <c r="WO207" s="199"/>
      <c r="WP207" s="199"/>
      <c r="WQ207" s="199"/>
      <c r="WR207" s="199"/>
      <c r="WS207" s="199"/>
      <c r="WT207" s="199"/>
      <c r="WU207" s="199"/>
      <c r="WV207" s="199"/>
      <c r="WW207" s="199"/>
      <c r="WX207" s="199"/>
      <c r="WY207" s="199"/>
      <c r="WZ207" s="199"/>
      <c r="XA207" s="199"/>
      <c r="XB207" s="199"/>
      <c r="XC207" s="199"/>
      <c r="XD207" s="199"/>
      <c r="XE207" s="199"/>
      <c r="XF207" s="199"/>
      <c r="XG207" s="199"/>
      <c r="XH207" s="199"/>
      <c r="XI207" s="199"/>
      <c r="XJ207" s="199"/>
      <c r="XK207" s="199"/>
      <c r="XL207" s="199"/>
      <c r="XM207" s="199"/>
      <c r="XN207" s="199"/>
      <c r="XO207" s="199"/>
      <c r="XP207" s="199"/>
      <c r="XQ207" s="199"/>
      <c r="XR207" s="199"/>
      <c r="XS207" s="199"/>
      <c r="XT207" s="199"/>
      <c r="XU207" s="199"/>
      <c r="XV207" s="199"/>
      <c r="XW207" s="199"/>
      <c r="XX207" s="199"/>
      <c r="XY207" s="199"/>
      <c r="XZ207" s="199"/>
      <c r="YA207" s="199"/>
      <c r="YB207" s="199"/>
      <c r="YC207" s="199"/>
      <c r="YD207" s="199"/>
      <c r="YE207" s="199"/>
      <c r="YF207" s="199"/>
      <c r="YG207" s="199"/>
      <c r="YH207" s="199"/>
      <c r="YI207" s="199"/>
      <c r="YJ207" s="199"/>
      <c r="YK207" s="199"/>
      <c r="YL207" s="199"/>
      <c r="YM207" s="199"/>
      <c r="YN207" s="199"/>
      <c r="YO207" s="199"/>
      <c r="YP207" s="199"/>
      <c r="YQ207" s="199"/>
      <c r="YR207" s="199"/>
      <c r="YS207" s="199"/>
      <c r="YT207" s="199"/>
      <c r="YU207" s="199"/>
      <c r="YV207" s="199"/>
      <c r="YW207" s="199"/>
      <c r="YX207" s="199"/>
      <c r="YY207" s="199"/>
      <c r="YZ207" s="199"/>
      <c r="ZA207" s="199"/>
      <c r="ZB207" s="199"/>
      <c r="ZC207" s="199"/>
      <c r="ZD207" s="199"/>
      <c r="ZE207" s="199"/>
      <c r="ZF207" s="199"/>
      <c r="ZG207" s="199"/>
      <c r="ZH207" s="199"/>
      <c r="ZI207" s="199"/>
      <c r="ZJ207" s="199"/>
      <c r="ZK207" s="199"/>
      <c r="ZL207" s="199"/>
      <c r="ZM207" s="199"/>
      <c r="ZN207" s="199"/>
      <c r="ZO207" s="199"/>
      <c r="ZP207" s="199"/>
      <c r="ZQ207" s="199"/>
      <c r="ZR207" s="199"/>
      <c r="ZS207" s="199"/>
      <c r="ZT207" s="199"/>
      <c r="ZU207" s="199"/>
      <c r="ZV207" s="199"/>
      <c r="ZW207" s="199"/>
      <c r="ZX207" s="199"/>
      <c r="ZY207" s="199"/>
      <c r="ZZ207" s="199"/>
      <c r="AAA207" s="199"/>
      <c r="AAB207" s="199"/>
      <c r="AAC207" s="199"/>
      <c r="AAD207" s="199"/>
      <c r="AAE207" s="199"/>
      <c r="AAF207" s="199"/>
      <c r="AAG207" s="199"/>
      <c r="AAH207" s="199"/>
      <c r="AAI207" s="199"/>
      <c r="AAJ207" s="199"/>
      <c r="AAK207" s="199"/>
      <c r="AAL207" s="199"/>
      <c r="AAM207" s="199"/>
      <c r="AAN207" s="199"/>
      <c r="AAO207" s="199"/>
      <c r="AAP207" s="199"/>
      <c r="AAQ207" s="199"/>
      <c r="AAR207" s="199"/>
      <c r="AAS207" s="199"/>
      <c r="AAT207" s="199"/>
      <c r="AAU207" s="199"/>
      <c r="AAV207" s="199"/>
      <c r="AAW207" s="199"/>
      <c r="AAX207" s="199"/>
      <c r="AAY207" s="199"/>
      <c r="AAZ207" s="199"/>
      <c r="ABA207" s="199"/>
      <c r="ABB207" s="199"/>
      <c r="ABC207" s="199"/>
      <c r="ABD207" s="199"/>
      <c r="ABE207" s="199"/>
      <c r="ABF207" s="199"/>
      <c r="ABG207" s="199"/>
      <c r="ABH207" s="199"/>
      <c r="ABI207" s="199"/>
      <c r="ABJ207" s="199"/>
      <c r="ABK207" s="199"/>
      <c r="ABL207" s="199"/>
      <c r="ABM207" s="199"/>
      <c r="ABN207" s="199"/>
      <c r="ABO207" s="199"/>
      <c r="ABP207" s="199"/>
      <c r="ABQ207" s="199"/>
      <c r="ABR207" s="199"/>
      <c r="ABS207" s="199"/>
      <c r="ABT207" s="199"/>
      <c r="ABU207" s="199"/>
      <c r="ABV207" s="199"/>
      <c r="ABW207" s="199"/>
      <c r="ABX207" s="199"/>
      <c r="ABY207" s="199"/>
      <c r="ABZ207" s="199"/>
      <c r="ACA207" s="199"/>
      <c r="ACB207" s="199"/>
      <c r="ACC207" s="199"/>
      <c r="ACD207" s="199"/>
      <c r="ACE207" s="199"/>
      <c r="ACF207" s="199"/>
      <c r="ACG207" s="199"/>
      <c r="ACH207" s="199"/>
      <c r="ACI207" s="199"/>
      <c r="ACJ207" s="199"/>
      <c r="ACK207" s="199"/>
      <c r="ACL207" s="199"/>
      <c r="ACM207" s="199"/>
      <c r="ACN207" s="199"/>
      <c r="ACO207" s="199"/>
      <c r="ACP207" s="199"/>
      <c r="ACQ207" s="199"/>
      <c r="ACR207" s="199"/>
      <c r="ACS207" s="199"/>
      <c r="ACT207" s="199"/>
      <c r="ACU207" s="199"/>
      <c r="ACV207" s="199"/>
      <c r="ACW207" s="199"/>
      <c r="ACX207" s="199"/>
      <c r="ACY207" s="199"/>
      <c r="ACZ207" s="199"/>
      <c r="ADA207" s="199"/>
      <c r="ADB207" s="199"/>
      <c r="ADC207" s="199"/>
      <c r="ADD207" s="199"/>
      <c r="ADE207" s="199"/>
      <c r="ADF207" s="199"/>
      <c r="ADG207" s="199"/>
      <c r="ADH207" s="199"/>
      <c r="ADI207" s="199"/>
      <c r="ADJ207" s="199"/>
      <c r="ADK207" s="199"/>
      <c r="ADL207" s="199"/>
      <c r="ADM207" s="199"/>
      <c r="ADN207" s="199"/>
      <c r="ADO207" s="199"/>
      <c r="ADP207" s="199"/>
      <c r="ADQ207" s="199"/>
      <c r="ADR207" s="199"/>
      <c r="ADS207" s="199"/>
      <c r="ADT207" s="199"/>
      <c r="ADU207" s="199"/>
      <c r="ADV207" s="199"/>
      <c r="ADW207" s="199"/>
      <c r="ADX207" s="199"/>
      <c r="ADY207" s="199"/>
      <c r="ADZ207" s="199"/>
      <c r="AEA207" s="199"/>
      <c r="AEB207" s="199"/>
      <c r="AEC207" s="199"/>
      <c r="AED207" s="199"/>
      <c r="AEE207" s="199"/>
      <c r="AEF207" s="199"/>
      <c r="AEG207" s="199"/>
      <c r="AEH207" s="199"/>
      <c r="AEI207" s="199"/>
      <c r="AEJ207" s="199"/>
      <c r="AEK207" s="199"/>
      <c r="AEL207" s="199"/>
      <c r="AEM207" s="199"/>
      <c r="AEN207" s="199"/>
      <c r="AEO207" s="199"/>
      <c r="AEP207" s="199"/>
      <c r="AEQ207" s="199"/>
      <c r="AER207" s="199"/>
      <c r="AES207" s="199"/>
      <c r="AET207" s="199"/>
      <c r="AEU207" s="199"/>
      <c r="AEV207" s="199"/>
      <c r="AEW207" s="199"/>
      <c r="AEX207" s="199"/>
      <c r="AEY207" s="199"/>
      <c r="AEZ207" s="199"/>
      <c r="AFA207" s="199"/>
      <c r="AFB207" s="199"/>
      <c r="AFC207" s="199"/>
      <c r="AFD207" s="199"/>
      <c r="AFE207" s="199"/>
      <c r="AFF207" s="199"/>
      <c r="AFG207" s="199"/>
      <c r="AFH207" s="199"/>
      <c r="AFI207" s="199"/>
      <c r="AFJ207" s="199"/>
      <c r="AFK207" s="199"/>
      <c r="AFL207" s="199"/>
      <c r="AFM207" s="199"/>
      <c r="AFN207" s="199"/>
      <c r="AFO207" s="199"/>
      <c r="AFP207" s="199"/>
      <c r="AFQ207" s="199"/>
      <c r="AFR207" s="199"/>
      <c r="AFS207" s="199"/>
      <c r="AFT207" s="199"/>
      <c r="AFU207" s="199"/>
      <c r="AFV207" s="199"/>
      <c r="AFW207" s="199"/>
      <c r="AFX207" s="199"/>
      <c r="AFY207" s="199"/>
      <c r="AFZ207" s="199"/>
      <c r="AGA207" s="199"/>
      <c r="AGB207" s="199"/>
      <c r="AGC207" s="199"/>
      <c r="AGD207" s="199"/>
      <c r="AGE207" s="199"/>
      <c r="AGF207" s="199"/>
      <c r="AGG207" s="199"/>
      <c r="AGH207" s="199"/>
      <c r="AGI207" s="199"/>
      <c r="AGJ207" s="199"/>
      <c r="AGK207" s="199"/>
      <c r="AGL207" s="199"/>
      <c r="AGM207" s="199"/>
      <c r="AGN207" s="199"/>
      <c r="AGO207" s="199"/>
      <c r="AGP207" s="199"/>
      <c r="AGQ207" s="199"/>
      <c r="AGR207" s="199"/>
      <c r="AGS207" s="199"/>
      <c r="AGT207" s="199"/>
      <c r="AGU207" s="199"/>
      <c r="AGV207" s="199"/>
      <c r="AGW207" s="199"/>
      <c r="AGX207" s="199"/>
      <c r="AGY207" s="199"/>
      <c r="AGZ207" s="199"/>
      <c r="AHA207" s="199"/>
      <c r="AHB207" s="199"/>
      <c r="AHC207" s="199"/>
      <c r="AHD207" s="199"/>
      <c r="AHE207" s="199"/>
      <c r="AHF207" s="199"/>
      <c r="AHG207" s="199"/>
      <c r="AHH207" s="199"/>
      <c r="AHI207" s="199"/>
      <c r="AHJ207" s="199"/>
      <c r="AHK207" s="199"/>
      <c r="AHL207" s="199"/>
      <c r="AHM207" s="199"/>
      <c r="AHN207" s="199"/>
      <c r="AHO207" s="199"/>
      <c r="AHP207" s="199"/>
      <c r="AHQ207" s="199"/>
      <c r="AHR207" s="199"/>
      <c r="AHS207" s="199"/>
      <c r="AHT207" s="199"/>
      <c r="AHU207" s="199"/>
      <c r="AHV207" s="199"/>
      <c r="AHW207" s="199"/>
      <c r="AHX207" s="199"/>
      <c r="AHY207" s="199"/>
      <c r="AHZ207" s="199"/>
      <c r="AIA207" s="199"/>
      <c r="AIB207" s="199"/>
      <c r="AIC207" s="199"/>
      <c r="AID207" s="199"/>
      <c r="AIE207" s="199"/>
      <c r="AIF207" s="199"/>
      <c r="AIG207" s="199"/>
      <c r="AIH207" s="199"/>
      <c r="AII207" s="199"/>
      <c r="AIJ207" s="199"/>
      <c r="AIK207" s="199"/>
      <c r="AIL207" s="199"/>
      <c r="AIM207" s="199"/>
      <c r="AIN207" s="199"/>
      <c r="AIO207" s="199"/>
      <c r="AIP207" s="199"/>
      <c r="AIQ207" s="199"/>
      <c r="AIR207" s="199"/>
      <c r="AIS207" s="199"/>
      <c r="AIT207" s="199"/>
      <c r="AIU207" s="199"/>
      <c r="AIV207" s="199"/>
      <c r="AIW207" s="199"/>
      <c r="AIX207" s="199"/>
      <c r="AIY207" s="199"/>
      <c r="AIZ207" s="199"/>
      <c r="AJA207" s="199"/>
      <c r="AJB207" s="199"/>
      <c r="AJC207" s="199"/>
      <c r="AJD207" s="199"/>
      <c r="AJE207" s="199"/>
      <c r="AJF207" s="199"/>
      <c r="AJG207" s="199"/>
      <c r="AJH207" s="199"/>
      <c r="AJI207" s="199"/>
      <c r="AJJ207" s="199"/>
      <c r="AJK207" s="199"/>
      <c r="AJL207" s="199"/>
      <c r="AJM207" s="199"/>
      <c r="AJN207" s="199"/>
      <c r="AJO207" s="199"/>
      <c r="AJP207" s="199"/>
      <c r="AJQ207" s="199"/>
      <c r="AJR207" s="199"/>
      <c r="AJS207" s="199"/>
      <c r="AJT207" s="199"/>
      <c r="AJU207" s="199"/>
      <c r="AJV207" s="199"/>
      <c r="AJW207" s="199"/>
      <c r="AJX207" s="199"/>
      <c r="AJY207" s="199"/>
      <c r="AJZ207" s="199"/>
      <c r="AKA207" s="199"/>
      <c r="AKB207" s="199"/>
      <c r="AKC207" s="199"/>
      <c r="AKD207" s="199"/>
      <c r="AKE207" s="199"/>
      <c r="AKF207" s="199"/>
      <c r="AKG207" s="199"/>
      <c r="AKH207" s="199"/>
      <c r="AKI207" s="199"/>
      <c r="AKJ207" s="199"/>
      <c r="AKK207" s="199"/>
      <c r="AKL207" s="199"/>
      <c r="AKM207" s="199"/>
      <c r="AKN207" s="199"/>
      <c r="AKO207" s="199"/>
      <c r="AKP207" s="199"/>
      <c r="AKQ207" s="199"/>
      <c r="AKR207" s="199"/>
      <c r="AKS207" s="199"/>
      <c r="AKT207" s="199"/>
      <c r="AKU207" s="199"/>
      <c r="AKV207" s="199"/>
      <c r="AKW207" s="199"/>
      <c r="AKX207" s="199"/>
      <c r="AKY207" s="199"/>
      <c r="AKZ207" s="199"/>
      <c r="ALA207" s="199"/>
      <c r="ALB207" s="199"/>
      <c r="ALC207" s="199"/>
      <c r="ALD207" s="199"/>
      <c r="ALE207" s="199"/>
      <c r="ALF207" s="199"/>
      <c r="ALG207" s="199"/>
      <c r="ALH207" s="199"/>
      <c r="ALI207" s="199"/>
      <c r="ALJ207" s="199"/>
      <c r="ALK207" s="199"/>
      <c r="ALL207" s="199"/>
      <c r="ALM207" s="199"/>
      <c r="ALN207" s="199"/>
      <c r="ALO207" s="199"/>
      <c r="ALP207" s="199"/>
      <c r="ALQ207" s="199"/>
      <c r="ALR207" s="199"/>
      <c r="ALS207" s="199"/>
      <c r="ALT207" s="199"/>
      <c r="ALU207" s="199"/>
      <c r="ALV207" s="199"/>
      <c r="ALW207" s="199"/>
      <c r="ALX207" s="199"/>
      <c r="ALY207" s="199"/>
      <c r="ALZ207" s="199"/>
      <c r="AMA207" s="199"/>
      <c r="AMB207" s="199"/>
      <c r="AMC207" s="199"/>
      <c r="AMD207" s="199"/>
      <c r="AME207" s="199"/>
      <c r="AMF207" s="199"/>
      <c r="AMG207" s="199"/>
      <c r="AMH207" s="199"/>
      <c r="AMI207" s="199"/>
      <c r="AMJ207" s="199"/>
      <c r="AMK207" s="199"/>
      <c r="AML207" s="199"/>
      <c r="AMM207" s="199"/>
      <c r="AMN207" s="199"/>
      <c r="AMO207" s="199"/>
      <c r="AMP207" s="199"/>
      <c r="AMQ207" s="199"/>
      <c r="AMR207" s="199"/>
      <c r="AMS207" s="199"/>
      <c r="AMT207" s="199"/>
      <c r="AMU207" s="199"/>
      <c r="AMV207" s="199"/>
      <c r="AMW207" s="199"/>
      <c r="AMX207" s="199"/>
      <c r="AMY207" s="199"/>
      <c r="AMZ207" s="199"/>
      <c r="ANA207" s="199"/>
      <c r="ANB207" s="199"/>
      <c r="ANC207" s="199"/>
      <c r="AND207" s="199"/>
      <c r="ANE207" s="199"/>
      <c r="ANF207" s="199"/>
      <c r="ANG207" s="199"/>
      <c r="ANH207" s="199"/>
      <c r="ANI207" s="199"/>
      <c r="ANJ207" s="199"/>
      <c r="ANK207" s="199"/>
      <c r="ANL207" s="199"/>
      <c r="ANM207" s="199"/>
      <c r="ANN207" s="199"/>
      <c r="ANO207" s="199"/>
      <c r="ANP207" s="199"/>
      <c r="ANQ207" s="199"/>
      <c r="ANR207" s="199"/>
      <c r="ANS207" s="199"/>
      <c r="ANT207" s="199"/>
      <c r="ANU207" s="199"/>
      <c r="ANV207" s="199"/>
      <c r="ANW207" s="199"/>
      <c r="ANX207" s="199"/>
      <c r="ANY207" s="199"/>
      <c r="ANZ207" s="199"/>
      <c r="AOA207" s="199"/>
      <c r="AOB207" s="199"/>
      <c r="AOC207" s="199"/>
      <c r="AOD207" s="199"/>
      <c r="AOE207" s="199"/>
      <c r="AOF207" s="199"/>
      <c r="AOG207" s="199"/>
      <c r="AOH207" s="199"/>
      <c r="AOI207" s="199"/>
      <c r="AOJ207" s="199"/>
      <c r="AOK207" s="199"/>
      <c r="AOL207" s="199"/>
      <c r="AOM207" s="199"/>
      <c r="AON207" s="199"/>
      <c r="AOO207" s="199"/>
      <c r="AOP207" s="199"/>
      <c r="AOQ207" s="199"/>
      <c r="AOR207" s="199"/>
      <c r="AOS207" s="199"/>
      <c r="AOT207" s="199"/>
      <c r="AOU207" s="199"/>
      <c r="AOV207" s="199"/>
      <c r="AOW207" s="199"/>
      <c r="AOX207" s="199"/>
      <c r="AOY207" s="199"/>
      <c r="AOZ207" s="199"/>
      <c r="APA207" s="199"/>
      <c r="APB207" s="199"/>
      <c r="APC207" s="199"/>
      <c r="APD207" s="199"/>
      <c r="APE207" s="199"/>
      <c r="APF207" s="199"/>
      <c r="APG207" s="199"/>
      <c r="APH207" s="199"/>
      <c r="API207" s="199"/>
      <c r="APJ207" s="199"/>
      <c r="APK207" s="199"/>
      <c r="APL207" s="199"/>
      <c r="APM207" s="199"/>
      <c r="APN207" s="199"/>
      <c r="APO207" s="199"/>
      <c r="APP207" s="199"/>
      <c r="APQ207" s="199"/>
      <c r="APR207" s="199"/>
      <c r="APS207" s="199"/>
      <c r="APT207" s="199"/>
      <c r="APU207" s="199"/>
      <c r="APV207" s="199"/>
      <c r="APW207" s="199"/>
      <c r="APX207" s="199"/>
      <c r="APY207" s="199"/>
      <c r="APZ207" s="199"/>
      <c r="AQA207" s="199"/>
      <c r="AQB207" s="199"/>
      <c r="AQC207" s="199"/>
      <c r="AQD207" s="199"/>
      <c r="AQE207" s="199"/>
      <c r="AQF207" s="199"/>
      <c r="AQG207" s="199"/>
      <c r="AQH207" s="199"/>
      <c r="AQI207" s="199"/>
      <c r="AQJ207" s="199"/>
      <c r="AQK207" s="199"/>
      <c r="AQL207" s="199"/>
      <c r="AQM207" s="199"/>
      <c r="AQN207" s="199"/>
      <c r="AQO207" s="199"/>
      <c r="AQP207" s="199"/>
      <c r="AQQ207" s="199"/>
      <c r="AQR207" s="199"/>
      <c r="AQS207" s="199"/>
      <c r="AQT207" s="199"/>
      <c r="AQU207" s="199"/>
      <c r="AQV207" s="199"/>
      <c r="AQW207" s="199"/>
      <c r="AQX207" s="199"/>
      <c r="AQY207" s="199"/>
      <c r="AQZ207" s="199"/>
      <c r="ARA207" s="199"/>
      <c r="ARB207" s="199"/>
      <c r="ARC207" s="199"/>
      <c r="ARD207" s="199"/>
      <c r="ARE207" s="199"/>
      <c r="ARF207" s="199"/>
      <c r="ARG207" s="199"/>
      <c r="ARH207" s="199"/>
      <c r="ARI207" s="199"/>
      <c r="ARJ207" s="199"/>
      <c r="ARK207" s="199"/>
      <c r="ARL207" s="199"/>
      <c r="ARM207" s="199"/>
      <c r="ARN207" s="199"/>
      <c r="ARO207" s="199"/>
      <c r="ARP207" s="199"/>
      <c r="ARQ207" s="199"/>
      <c r="ARR207" s="199"/>
      <c r="ARS207" s="199"/>
      <c r="ART207" s="199"/>
      <c r="ARU207" s="199"/>
      <c r="ARV207" s="199"/>
      <c r="ARW207" s="199"/>
      <c r="ARX207" s="199"/>
      <c r="ARY207" s="199"/>
      <c r="ARZ207" s="199"/>
      <c r="ASA207" s="199"/>
      <c r="ASB207" s="199"/>
      <c r="ASC207" s="199"/>
      <c r="ASD207" s="199"/>
      <c r="ASE207" s="199"/>
      <c r="ASF207" s="199"/>
      <c r="ASG207" s="199"/>
      <c r="ASH207" s="199"/>
      <c r="ASI207" s="199"/>
      <c r="ASJ207" s="199"/>
      <c r="ASK207" s="199"/>
      <c r="ASL207" s="199"/>
      <c r="ASM207" s="199"/>
      <c r="ASN207" s="199"/>
      <c r="ASO207" s="199"/>
      <c r="ASP207" s="199"/>
      <c r="ASQ207" s="199"/>
      <c r="ASR207" s="199"/>
      <c r="ASS207" s="199"/>
      <c r="AST207" s="199"/>
      <c r="ASU207" s="199"/>
      <c r="ASV207" s="199"/>
      <c r="ASW207" s="199"/>
      <c r="ASX207" s="199"/>
      <c r="ASY207" s="199"/>
      <c r="ASZ207" s="199"/>
      <c r="ATA207" s="199"/>
      <c r="ATB207" s="199"/>
      <c r="ATC207" s="199"/>
      <c r="ATD207" s="199"/>
      <c r="ATE207" s="199"/>
      <c r="ATF207" s="199"/>
      <c r="ATG207" s="199"/>
      <c r="ATH207" s="199"/>
      <c r="ATI207" s="199"/>
      <c r="ATJ207" s="199"/>
      <c r="ATK207" s="199"/>
      <c r="ATL207" s="199"/>
      <c r="ATM207" s="199"/>
      <c r="ATN207" s="199"/>
      <c r="ATO207" s="199"/>
      <c r="ATP207" s="199"/>
      <c r="ATQ207" s="199"/>
      <c r="ATR207" s="199"/>
      <c r="ATS207" s="199"/>
      <c r="ATT207" s="199"/>
      <c r="ATU207" s="199"/>
      <c r="ATV207" s="199"/>
      <c r="ATW207" s="199"/>
      <c r="ATX207" s="199"/>
      <c r="ATY207" s="199"/>
      <c r="ATZ207" s="199"/>
      <c r="AUA207" s="199"/>
      <c r="AUB207" s="199"/>
      <c r="AUC207" s="199"/>
      <c r="AUD207" s="199"/>
      <c r="AUE207" s="199"/>
      <c r="AUF207" s="199"/>
      <c r="AUG207" s="199"/>
      <c r="AUH207" s="199"/>
      <c r="AUI207" s="199"/>
      <c r="AUJ207" s="199"/>
      <c r="AUK207" s="199"/>
      <c r="AUL207" s="199"/>
      <c r="AUM207" s="199"/>
      <c r="AUN207" s="199"/>
      <c r="AUO207" s="199"/>
      <c r="AUP207" s="199"/>
      <c r="AUQ207" s="199"/>
      <c r="AUR207" s="199"/>
      <c r="AUS207" s="199"/>
      <c r="AUT207" s="199"/>
      <c r="AUU207" s="199"/>
      <c r="AUV207" s="199"/>
      <c r="AUW207" s="199"/>
      <c r="AUX207" s="199"/>
      <c r="AUY207" s="199"/>
      <c r="AUZ207" s="199"/>
      <c r="AVA207" s="199"/>
      <c r="AVB207" s="199"/>
      <c r="AVC207" s="199"/>
      <c r="AVD207" s="199"/>
      <c r="AVE207" s="199"/>
      <c r="AVF207" s="199"/>
      <c r="AVG207" s="199"/>
      <c r="AVH207" s="199"/>
      <c r="AVI207" s="199"/>
      <c r="AVJ207" s="199"/>
      <c r="AVK207" s="199"/>
      <c r="AVL207" s="199"/>
      <c r="AVM207" s="199"/>
      <c r="AVN207" s="199"/>
      <c r="AVO207" s="199"/>
      <c r="AVP207" s="199"/>
      <c r="AVQ207" s="199"/>
      <c r="AVR207" s="199"/>
      <c r="AVS207" s="199"/>
      <c r="AVT207" s="199"/>
      <c r="AVU207" s="199"/>
      <c r="AVV207" s="199"/>
      <c r="AVW207" s="199"/>
      <c r="AVX207" s="199"/>
      <c r="AVY207" s="199"/>
      <c r="AVZ207" s="199"/>
      <c r="AWA207" s="199"/>
      <c r="AWB207" s="199"/>
      <c r="AWC207" s="199"/>
      <c r="AWD207" s="199"/>
      <c r="AWE207" s="199"/>
      <c r="AWF207" s="199"/>
      <c r="AWG207" s="199"/>
      <c r="AWH207" s="199"/>
      <c r="AWI207" s="199"/>
      <c r="AWJ207" s="199"/>
      <c r="AWK207" s="199"/>
      <c r="AWL207" s="199"/>
      <c r="AWM207" s="199"/>
      <c r="AWN207" s="199"/>
      <c r="AWO207" s="199"/>
      <c r="AWP207" s="199"/>
      <c r="AWQ207" s="199"/>
      <c r="AWR207" s="199"/>
      <c r="AWS207" s="199"/>
      <c r="AWT207" s="199"/>
      <c r="AWU207" s="199"/>
      <c r="AWV207" s="199"/>
      <c r="AWW207" s="199"/>
      <c r="AWX207" s="199"/>
      <c r="AWY207" s="199"/>
      <c r="AWZ207" s="199"/>
      <c r="AXA207" s="199"/>
      <c r="AXB207" s="199"/>
      <c r="AXC207" s="199"/>
      <c r="AXD207" s="199"/>
      <c r="AXE207" s="199"/>
      <c r="AXF207" s="199"/>
      <c r="AXG207" s="199"/>
      <c r="AXH207" s="199"/>
      <c r="AXI207" s="199"/>
      <c r="AXJ207" s="199"/>
      <c r="AXK207" s="199"/>
      <c r="AXL207" s="199"/>
      <c r="AXM207" s="199"/>
      <c r="AXN207" s="199"/>
      <c r="AXO207" s="199"/>
      <c r="AXP207" s="199"/>
      <c r="AXQ207" s="199"/>
      <c r="AXR207" s="199"/>
      <c r="AXS207" s="199"/>
      <c r="AXT207" s="199"/>
      <c r="AXU207" s="199"/>
      <c r="AXV207" s="199"/>
      <c r="AXW207" s="199"/>
      <c r="AXX207" s="199"/>
      <c r="AXY207" s="199"/>
      <c r="AXZ207" s="199"/>
      <c r="AYA207" s="199"/>
      <c r="AYB207" s="199"/>
      <c r="AYC207" s="199"/>
      <c r="AYD207" s="199"/>
      <c r="AYE207" s="199"/>
      <c r="AYF207" s="199"/>
      <c r="AYG207" s="199"/>
      <c r="AYH207" s="199"/>
      <c r="AYI207" s="199"/>
      <c r="AYJ207" s="199"/>
      <c r="AYK207" s="199"/>
      <c r="AYL207" s="199"/>
      <c r="AYM207" s="199"/>
      <c r="AYN207" s="199"/>
      <c r="AYO207" s="199"/>
      <c r="AYP207" s="199"/>
      <c r="AYQ207" s="199"/>
      <c r="AYR207" s="199"/>
      <c r="AYS207" s="199"/>
      <c r="AYT207" s="199"/>
      <c r="AYU207" s="199"/>
      <c r="AYV207" s="199"/>
      <c r="AYW207" s="199"/>
      <c r="AYX207" s="199"/>
      <c r="AYY207" s="199"/>
      <c r="AYZ207" s="199"/>
      <c r="AZA207" s="199"/>
      <c r="AZB207" s="199"/>
      <c r="AZC207" s="199"/>
      <c r="AZD207" s="199"/>
      <c r="AZE207" s="199"/>
      <c r="AZF207" s="199"/>
      <c r="AZG207" s="199"/>
      <c r="AZH207" s="199"/>
      <c r="AZI207" s="199"/>
      <c r="AZJ207" s="199"/>
      <c r="AZK207" s="199"/>
      <c r="AZL207" s="199"/>
      <c r="AZM207" s="199"/>
      <c r="AZN207" s="199"/>
      <c r="AZO207" s="199"/>
      <c r="AZP207" s="199"/>
      <c r="AZQ207" s="199"/>
      <c r="AZR207" s="199"/>
      <c r="AZS207" s="199"/>
      <c r="AZT207" s="199"/>
      <c r="AZU207" s="199"/>
      <c r="AZV207" s="199"/>
      <c r="AZW207" s="199"/>
      <c r="AZX207" s="199"/>
      <c r="AZY207" s="199"/>
      <c r="AZZ207" s="199"/>
      <c r="BAA207" s="199"/>
      <c r="BAB207" s="199"/>
      <c r="BAC207" s="199"/>
      <c r="BAD207" s="199"/>
      <c r="BAE207" s="199"/>
      <c r="BAF207" s="199"/>
      <c r="BAG207" s="199"/>
      <c r="BAH207" s="199"/>
      <c r="BAI207" s="199"/>
      <c r="BAJ207" s="199"/>
      <c r="BAK207" s="199"/>
      <c r="BAL207" s="199"/>
      <c r="BAM207" s="199"/>
      <c r="BAN207" s="199"/>
      <c r="BAO207" s="199"/>
      <c r="BAP207" s="199"/>
      <c r="BAQ207" s="199"/>
      <c r="BAR207" s="199"/>
      <c r="BAS207" s="199"/>
      <c r="BAT207" s="199"/>
      <c r="BAU207" s="199"/>
      <c r="BAV207" s="199"/>
      <c r="BAW207" s="199"/>
      <c r="BAX207" s="199"/>
      <c r="BAY207" s="199"/>
      <c r="BAZ207" s="199"/>
      <c r="BBA207" s="199"/>
      <c r="BBB207" s="199"/>
      <c r="BBC207" s="199"/>
      <c r="BBD207" s="199"/>
      <c r="BBE207" s="199"/>
      <c r="BBF207" s="199"/>
      <c r="BBG207" s="199"/>
      <c r="BBH207" s="199"/>
      <c r="BBI207" s="199"/>
      <c r="BBJ207" s="199"/>
      <c r="BBK207" s="199"/>
      <c r="BBL207" s="199"/>
      <c r="BBM207" s="199"/>
      <c r="BBN207" s="199"/>
      <c r="BBO207" s="199"/>
      <c r="BBP207" s="199"/>
      <c r="BBQ207" s="199"/>
      <c r="BBR207" s="199"/>
      <c r="BBS207" s="199"/>
      <c r="BBT207" s="199"/>
      <c r="BBU207" s="199"/>
      <c r="BBV207" s="199"/>
      <c r="BBW207" s="199"/>
      <c r="BBX207" s="199"/>
      <c r="BBY207" s="199"/>
      <c r="BBZ207" s="199"/>
      <c r="BCA207" s="199"/>
      <c r="BCB207" s="199"/>
      <c r="BCC207" s="199"/>
      <c r="BCD207" s="199"/>
      <c r="BCE207" s="199"/>
      <c r="BCF207" s="199"/>
      <c r="BCG207" s="199"/>
      <c r="BCH207" s="199"/>
      <c r="BCI207" s="199"/>
      <c r="BCJ207" s="199"/>
      <c r="BCK207" s="199"/>
      <c r="BCL207" s="199"/>
      <c r="BCM207" s="199"/>
      <c r="BCN207" s="199"/>
      <c r="BCO207" s="199"/>
      <c r="BCP207" s="199"/>
      <c r="BCQ207" s="199"/>
      <c r="BCR207" s="199"/>
      <c r="BCS207" s="199"/>
      <c r="BCT207" s="199"/>
      <c r="BCU207" s="199"/>
      <c r="BCV207" s="199"/>
      <c r="BCW207" s="199"/>
      <c r="BCX207" s="199"/>
      <c r="BCY207" s="199"/>
      <c r="BCZ207" s="199"/>
      <c r="BDA207" s="199"/>
      <c r="BDB207" s="199"/>
      <c r="BDC207" s="199"/>
      <c r="BDD207" s="199"/>
      <c r="BDE207" s="199"/>
      <c r="BDF207" s="199"/>
      <c r="BDG207" s="199"/>
      <c r="BDH207" s="199"/>
      <c r="BDI207" s="199"/>
      <c r="BDJ207" s="199"/>
      <c r="BDK207" s="199"/>
      <c r="BDL207" s="199"/>
      <c r="BDM207" s="199"/>
      <c r="BDN207" s="199"/>
      <c r="BDO207" s="199"/>
      <c r="BDP207" s="199"/>
      <c r="BDQ207" s="199"/>
      <c r="BDR207" s="199"/>
      <c r="BDS207" s="199"/>
      <c r="BDT207" s="199"/>
      <c r="BDU207" s="199"/>
      <c r="BDV207" s="199"/>
      <c r="BDW207" s="199"/>
      <c r="BDX207" s="199"/>
      <c r="BDY207" s="199"/>
      <c r="BDZ207" s="199"/>
      <c r="BEA207" s="199"/>
      <c r="BEB207" s="199"/>
      <c r="BEC207" s="199"/>
      <c r="BED207" s="199"/>
      <c r="BEE207" s="199"/>
      <c r="BEF207" s="199"/>
      <c r="BEG207" s="199"/>
      <c r="BEH207" s="199"/>
      <c r="BEI207" s="199"/>
      <c r="BEJ207" s="199"/>
      <c r="BEK207" s="199"/>
      <c r="BEL207" s="199"/>
      <c r="BEM207" s="199"/>
      <c r="BEN207" s="199"/>
      <c r="BEO207" s="199"/>
      <c r="BEP207" s="199"/>
      <c r="BEQ207" s="199"/>
      <c r="BER207" s="199"/>
      <c r="BES207" s="199"/>
      <c r="BET207" s="199"/>
      <c r="BEU207" s="199"/>
      <c r="BEV207" s="199"/>
      <c r="BEW207" s="199"/>
      <c r="BEX207" s="199"/>
      <c r="BEY207" s="199"/>
      <c r="BEZ207" s="199"/>
      <c r="BFA207" s="199"/>
      <c r="BFB207" s="199"/>
      <c r="BFC207" s="199"/>
      <c r="BFD207" s="199"/>
      <c r="BFE207" s="199"/>
      <c r="BFF207" s="199"/>
      <c r="BFG207" s="199"/>
      <c r="BFH207" s="199"/>
      <c r="BFI207" s="199"/>
      <c r="BFJ207" s="199"/>
      <c r="BFK207" s="199"/>
      <c r="BFL207" s="199"/>
      <c r="BFM207" s="199"/>
      <c r="BFN207" s="199"/>
      <c r="BFO207" s="199"/>
      <c r="BFP207" s="199"/>
      <c r="BFQ207" s="199"/>
      <c r="BFR207" s="199"/>
      <c r="BFS207" s="199"/>
      <c r="BFT207" s="199"/>
      <c r="BFU207" s="199"/>
      <c r="BFV207" s="199"/>
      <c r="BFW207" s="199"/>
      <c r="BFX207" s="199"/>
      <c r="BFY207" s="199"/>
      <c r="BFZ207" s="199"/>
      <c r="BGA207" s="199"/>
      <c r="BGB207" s="199"/>
      <c r="BGC207" s="199"/>
      <c r="BGD207" s="199"/>
      <c r="BGE207" s="199"/>
      <c r="BGF207" s="199"/>
      <c r="BGG207" s="199"/>
      <c r="BGH207" s="199"/>
      <c r="BGI207" s="199"/>
      <c r="BGJ207" s="199"/>
      <c r="BGK207" s="199"/>
      <c r="BGL207" s="199"/>
      <c r="BGM207" s="199"/>
      <c r="BGN207" s="199"/>
      <c r="BGO207" s="199"/>
      <c r="BGP207" s="199"/>
      <c r="BGQ207" s="199"/>
      <c r="BGR207" s="199"/>
      <c r="BGS207" s="199"/>
      <c r="BGT207" s="199"/>
      <c r="BGU207" s="199"/>
      <c r="BGV207" s="199"/>
      <c r="BGW207" s="199"/>
      <c r="BGX207" s="199"/>
      <c r="BGY207" s="199"/>
      <c r="BGZ207" s="199"/>
      <c r="BHA207" s="199"/>
      <c r="BHB207" s="199"/>
      <c r="BHC207" s="199"/>
      <c r="BHD207" s="199"/>
      <c r="BHE207" s="199"/>
      <c r="BHF207" s="199"/>
      <c r="BHG207" s="199"/>
      <c r="BHH207" s="199"/>
      <c r="BHI207" s="199"/>
      <c r="BHJ207" s="199"/>
      <c r="BHK207" s="199"/>
      <c r="BHL207" s="199"/>
      <c r="BHM207" s="199"/>
      <c r="BHN207" s="199"/>
      <c r="BHO207" s="199"/>
      <c r="BHP207" s="199"/>
      <c r="BHQ207" s="199"/>
      <c r="BHR207" s="199"/>
      <c r="BHS207" s="199"/>
      <c r="BHT207" s="199"/>
      <c r="BHU207" s="199"/>
      <c r="BHV207" s="199"/>
      <c r="BHW207" s="199"/>
      <c r="BHX207" s="199"/>
      <c r="BHY207" s="199"/>
      <c r="BHZ207" s="199"/>
      <c r="BIA207" s="199"/>
      <c r="BIB207" s="199"/>
      <c r="BIC207" s="199"/>
      <c r="BID207" s="199"/>
      <c r="BIE207" s="199"/>
      <c r="BIF207" s="199"/>
      <c r="BIG207" s="199"/>
      <c r="BIH207" s="199"/>
      <c r="BII207" s="199"/>
      <c r="BIJ207" s="199"/>
      <c r="BIK207" s="199"/>
      <c r="BIL207" s="199"/>
      <c r="BIM207" s="199"/>
      <c r="BIN207" s="199"/>
      <c r="BIO207" s="199"/>
      <c r="BIP207" s="199"/>
      <c r="BIQ207" s="199"/>
      <c r="BIR207" s="199"/>
      <c r="BIS207" s="199"/>
      <c r="BIT207" s="199"/>
      <c r="BIU207" s="199"/>
      <c r="BIV207" s="199"/>
      <c r="BIW207" s="199"/>
      <c r="BIX207" s="199"/>
      <c r="BIY207" s="199"/>
      <c r="BIZ207" s="199"/>
      <c r="BJA207" s="199"/>
      <c r="BJB207" s="199"/>
      <c r="BJC207" s="199"/>
      <c r="BJD207" s="199"/>
      <c r="BJE207" s="199"/>
      <c r="BJF207" s="199"/>
      <c r="BJG207" s="199"/>
      <c r="BJH207" s="199"/>
      <c r="BJI207" s="199"/>
      <c r="BJJ207" s="199"/>
      <c r="BJK207" s="199"/>
      <c r="BJL207" s="199"/>
      <c r="BJM207" s="199"/>
      <c r="BJN207" s="199"/>
      <c r="BJO207" s="199"/>
      <c r="BJP207" s="199"/>
      <c r="BJQ207" s="199"/>
      <c r="BJR207" s="199"/>
      <c r="BJS207" s="199"/>
      <c r="BJT207" s="199"/>
      <c r="BJU207" s="199"/>
      <c r="BJV207" s="199"/>
      <c r="BJW207" s="199"/>
      <c r="BJX207" s="199"/>
      <c r="BJY207" s="199"/>
      <c r="BJZ207" s="199"/>
      <c r="BKA207" s="199"/>
      <c r="BKB207" s="199"/>
      <c r="BKC207" s="199"/>
      <c r="BKD207" s="199"/>
      <c r="BKE207" s="199"/>
      <c r="BKF207" s="199"/>
      <c r="BKG207" s="199"/>
      <c r="BKH207" s="199"/>
      <c r="BKI207" s="199"/>
      <c r="BKJ207" s="199"/>
      <c r="BKK207" s="199"/>
      <c r="BKL207" s="199"/>
      <c r="BKM207" s="199"/>
      <c r="BKN207" s="199"/>
      <c r="BKO207" s="199"/>
      <c r="BKP207" s="199"/>
      <c r="BKQ207" s="199"/>
      <c r="BKR207" s="199"/>
      <c r="BKS207" s="199"/>
      <c r="BKT207" s="199"/>
      <c r="BKU207" s="199"/>
      <c r="BKV207" s="199"/>
      <c r="BKW207" s="199"/>
      <c r="BKX207" s="199"/>
      <c r="BKY207" s="199"/>
      <c r="BKZ207" s="199"/>
      <c r="BLA207" s="199"/>
      <c r="BLB207" s="199"/>
      <c r="BLC207" s="199"/>
      <c r="BLD207" s="199"/>
      <c r="BLE207" s="199"/>
      <c r="BLF207" s="199"/>
      <c r="BLG207" s="199"/>
      <c r="BLH207" s="199"/>
      <c r="BLI207" s="199"/>
      <c r="BLJ207" s="199"/>
      <c r="BLK207" s="199"/>
      <c r="BLL207" s="199"/>
      <c r="BLM207" s="199"/>
      <c r="BLN207" s="199"/>
      <c r="BLO207" s="199"/>
      <c r="BLP207" s="199"/>
      <c r="BLQ207" s="199"/>
      <c r="BLR207" s="199"/>
      <c r="BLS207" s="199"/>
      <c r="BLT207" s="199"/>
      <c r="BLU207" s="199"/>
      <c r="BLV207" s="199"/>
      <c r="BLW207" s="199"/>
      <c r="BLX207" s="199"/>
      <c r="BLY207" s="199"/>
      <c r="BLZ207" s="199"/>
      <c r="BMA207" s="199"/>
      <c r="BMB207" s="199"/>
      <c r="BMC207" s="199"/>
      <c r="BMD207" s="199"/>
      <c r="BME207" s="199"/>
      <c r="BMF207" s="199"/>
      <c r="BMG207" s="199"/>
      <c r="BMH207" s="199"/>
      <c r="BMI207" s="199"/>
      <c r="BMJ207" s="199"/>
      <c r="BMK207" s="199"/>
      <c r="BML207" s="199"/>
      <c r="BMM207" s="199"/>
      <c r="BMN207" s="199"/>
      <c r="BMO207" s="199"/>
      <c r="BMP207" s="199"/>
      <c r="BMQ207" s="199"/>
      <c r="BMR207" s="199"/>
      <c r="BMS207" s="199"/>
      <c r="BMT207" s="199"/>
      <c r="BMU207" s="199"/>
      <c r="BMV207" s="199"/>
      <c r="BMW207" s="199"/>
      <c r="BMX207" s="199"/>
      <c r="BMY207" s="199"/>
      <c r="BMZ207" s="199"/>
      <c r="BNA207" s="199"/>
      <c r="BNB207" s="199"/>
      <c r="BNC207" s="199"/>
      <c r="BND207" s="199"/>
      <c r="BNE207" s="199"/>
      <c r="BNF207" s="199"/>
      <c r="BNG207" s="199"/>
      <c r="BNH207" s="199"/>
      <c r="BNI207" s="199"/>
      <c r="BNJ207" s="199"/>
      <c r="BNK207" s="199"/>
      <c r="BNL207" s="199"/>
      <c r="BNM207" s="199"/>
      <c r="BNN207" s="199"/>
      <c r="BNO207" s="199"/>
      <c r="BNP207" s="199"/>
      <c r="BNQ207" s="199"/>
      <c r="BNR207" s="199"/>
      <c r="BNS207" s="199"/>
      <c r="BNT207" s="199"/>
      <c r="BNU207" s="199"/>
      <c r="BNV207" s="199"/>
      <c r="BNW207" s="199"/>
      <c r="BNX207" s="199"/>
      <c r="BNY207" s="199"/>
      <c r="BNZ207" s="199"/>
      <c r="BOA207" s="199"/>
      <c r="BOB207" s="199"/>
      <c r="BOC207" s="199"/>
      <c r="BOD207" s="199"/>
      <c r="BOE207" s="199"/>
      <c r="BOF207" s="199"/>
      <c r="BOG207" s="199"/>
      <c r="BOH207" s="199"/>
      <c r="BOI207" s="199"/>
      <c r="BOJ207" s="199"/>
      <c r="BOK207" s="199"/>
      <c r="BOL207" s="199"/>
      <c r="BOM207" s="199"/>
      <c r="BON207" s="199"/>
      <c r="BOO207" s="199"/>
      <c r="BOP207" s="199"/>
      <c r="BOQ207" s="199"/>
      <c r="BOR207" s="199"/>
      <c r="BOS207" s="199"/>
      <c r="BOT207" s="199"/>
      <c r="BOU207" s="199"/>
      <c r="BOV207" s="199"/>
      <c r="BOW207" s="199"/>
      <c r="BOX207" s="199"/>
      <c r="BOY207" s="199"/>
      <c r="BOZ207" s="199"/>
      <c r="BPA207" s="199"/>
      <c r="BPB207" s="199"/>
      <c r="BPC207" s="199"/>
      <c r="BPD207" s="199"/>
      <c r="BPE207" s="199"/>
      <c r="BPF207" s="199"/>
      <c r="BPG207" s="199"/>
      <c r="BPH207" s="199"/>
      <c r="BPI207" s="199"/>
      <c r="BPJ207" s="199"/>
      <c r="BPK207" s="199"/>
      <c r="BPL207" s="199"/>
      <c r="BPM207" s="199"/>
      <c r="BPN207" s="199"/>
      <c r="BPO207" s="199"/>
      <c r="BPP207" s="199"/>
      <c r="BPQ207" s="199"/>
      <c r="BPR207" s="199"/>
      <c r="BPS207" s="199"/>
      <c r="BPT207" s="199"/>
      <c r="BPU207" s="199"/>
      <c r="BPV207" s="199"/>
      <c r="BPW207" s="199"/>
      <c r="BPX207" s="199"/>
      <c r="BPY207" s="199"/>
      <c r="BPZ207" s="199"/>
      <c r="BQA207" s="199"/>
      <c r="BQB207" s="199"/>
      <c r="BQC207" s="199"/>
      <c r="BQD207" s="199"/>
      <c r="BQE207" s="199"/>
      <c r="BQF207" s="199"/>
      <c r="BQG207" s="199"/>
      <c r="BQH207" s="199"/>
      <c r="BQI207" s="199"/>
      <c r="BQJ207" s="199"/>
      <c r="BQK207" s="199"/>
      <c r="BQL207" s="199"/>
      <c r="BQM207" s="199"/>
      <c r="BQN207" s="199"/>
      <c r="BQO207" s="199"/>
      <c r="BQP207" s="199"/>
      <c r="BQQ207" s="199"/>
      <c r="BQR207" s="199"/>
      <c r="BQS207" s="199"/>
      <c r="BQT207" s="199"/>
      <c r="BQU207" s="199"/>
      <c r="BQV207" s="199"/>
      <c r="BQW207" s="199"/>
      <c r="BQX207" s="199"/>
      <c r="BQY207" s="199"/>
      <c r="BQZ207" s="199"/>
      <c r="BRA207" s="199"/>
      <c r="BRB207" s="199"/>
      <c r="BRC207" s="199"/>
      <c r="BRD207" s="199"/>
      <c r="BRE207" s="199"/>
      <c r="BRF207" s="199"/>
      <c r="BRG207" s="199"/>
      <c r="BRH207" s="199"/>
      <c r="BRI207" s="199"/>
      <c r="BRJ207" s="199"/>
      <c r="BRK207" s="199"/>
      <c r="BRL207" s="199"/>
      <c r="BRM207" s="199"/>
      <c r="BRN207" s="199"/>
      <c r="BRO207" s="199"/>
      <c r="BRP207" s="199"/>
      <c r="BRQ207" s="199"/>
      <c r="BRR207" s="199"/>
      <c r="BRS207" s="199"/>
      <c r="BRT207" s="199"/>
      <c r="BRU207" s="199"/>
      <c r="BRV207" s="199"/>
      <c r="BRW207" s="199"/>
      <c r="BRX207" s="199"/>
      <c r="BRY207" s="199"/>
      <c r="BRZ207" s="199"/>
      <c r="BSA207" s="199"/>
      <c r="BSB207" s="199"/>
      <c r="BSC207" s="199"/>
      <c r="BSD207" s="199"/>
      <c r="BSE207" s="199"/>
      <c r="BSF207" s="199"/>
      <c r="BSG207" s="199"/>
      <c r="BSH207" s="199"/>
      <c r="BSI207" s="199"/>
      <c r="BSJ207" s="199"/>
      <c r="BSK207" s="199"/>
      <c r="BSL207" s="199"/>
      <c r="BSM207" s="199"/>
      <c r="BSN207" s="199"/>
      <c r="BSO207" s="199"/>
      <c r="BSP207" s="199"/>
      <c r="BSQ207" s="199"/>
      <c r="BSR207" s="199"/>
      <c r="BSS207" s="199"/>
      <c r="BST207" s="199"/>
      <c r="BSU207" s="199"/>
      <c r="BSV207" s="199"/>
      <c r="BSW207" s="199"/>
      <c r="BSX207" s="199"/>
      <c r="BSY207" s="199"/>
      <c r="BSZ207" s="199"/>
      <c r="BTA207" s="199"/>
      <c r="BTB207" s="199"/>
      <c r="BTC207" s="199"/>
      <c r="BTD207" s="199"/>
      <c r="BTE207" s="199"/>
      <c r="BTF207" s="199"/>
      <c r="BTG207" s="199"/>
      <c r="BTH207" s="199"/>
      <c r="BTI207" s="199"/>
      <c r="BTJ207" s="199"/>
      <c r="BTK207" s="199"/>
      <c r="BTL207" s="199"/>
      <c r="BTM207" s="199"/>
      <c r="BTN207" s="199"/>
      <c r="BTO207" s="199"/>
      <c r="BTP207" s="199"/>
      <c r="BTQ207" s="199"/>
      <c r="BTR207" s="199"/>
      <c r="BTS207" s="199"/>
      <c r="BTT207" s="199"/>
      <c r="BTU207" s="199"/>
      <c r="BTV207" s="199"/>
      <c r="BTW207" s="199"/>
      <c r="BTX207" s="199"/>
      <c r="BTY207" s="199"/>
      <c r="BTZ207" s="199"/>
      <c r="BUA207" s="199"/>
      <c r="BUB207" s="199"/>
      <c r="BUC207" s="199"/>
      <c r="BUD207" s="199"/>
      <c r="BUE207" s="199"/>
      <c r="BUF207" s="199"/>
      <c r="BUG207" s="199"/>
      <c r="BUH207" s="199"/>
      <c r="BUI207" s="199"/>
      <c r="BUJ207" s="199"/>
      <c r="BUK207" s="199"/>
      <c r="BUL207" s="199"/>
      <c r="BUM207" s="199"/>
      <c r="BUN207" s="199"/>
      <c r="BUO207" s="199"/>
      <c r="BUP207" s="199"/>
      <c r="BUQ207" s="199"/>
      <c r="BUR207" s="199"/>
      <c r="BUS207" s="199"/>
      <c r="BUT207" s="199"/>
      <c r="BUU207" s="199"/>
      <c r="BUV207" s="199"/>
      <c r="BUW207" s="199"/>
      <c r="BUX207" s="199"/>
      <c r="BUY207" s="199"/>
      <c r="BUZ207" s="199"/>
      <c r="BVA207" s="199"/>
      <c r="BVB207" s="199"/>
      <c r="BVC207" s="199"/>
      <c r="BVD207" s="199"/>
      <c r="BVE207" s="199"/>
      <c r="BVF207" s="199"/>
      <c r="BVG207" s="199"/>
      <c r="BVH207" s="199"/>
      <c r="BVI207" s="199"/>
      <c r="BVJ207" s="199"/>
      <c r="BVK207" s="199"/>
      <c r="BVL207" s="199"/>
      <c r="BVM207" s="199"/>
      <c r="BVN207" s="199"/>
      <c r="BVO207" s="199"/>
      <c r="BVP207" s="199"/>
      <c r="BVQ207" s="199"/>
      <c r="BVR207" s="199"/>
      <c r="BVS207" s="199"/>
      <c r="BVT207" s="199"/>
      <c r="BVU207" s="199"/>
      <c r="BVV207" s="199"/>
      <c r="BVW207" s="199"/>
      <c r="BVX207" s="199"/>
      <c r="BVY207" s="199"/>
      <c r="BVZ207" s="199"/>
      <c r="BWA207" s="199"/>
      <c r="BWB207" s="199"/>
      <c r="BWC207" s="199"/>
      <c r="BWD207" s="199"/>
      <c r="BWE207" s="199"/>
      <c r="BWF207" s="199"/>
      <c r="BWG207" s="199"/>
      <c r="BWH207" s="199"/>
      <c r="BWI207" s="199"/>
      <c r="BWJ207" s="199"/>
      <c r="BWK207" s="199"/>
      <c r="BWL207" s="199"/>
      <c r="BWM207" s="199"/>
      <c r="BWN207" s="199"/>
      <c r="BWO207" s="199"/>
      <c r="BWP207" s="199"/>
      <c r="BWQ207" s="199"/>
      <c r="BWR207" s="199"/>
      <c r="BWS207" s="199"/>
      <c r="BWT207" s="199"/>
      <c r="BWU207" s="199"/>
      <c r="BWV207" s="199"/>
      <c r="BWW207" s="199"/>
      <c r="BWX207" s="199"/>
      <c r="BWY207" s="199"/>
      <c r="BWZ207" s="199"/>
      <c r="BXA207" s="199"/>
      <c r="BXB207" s="199"/>
      <c r="BXC207" s="199"/>
      <c r="BXD207" s="199"/>
      <c r="BXE207" s="199"/>
      <c r="BXF207" s="199"/>
      <c r="BXG207" s="199"/>
      <c r="BXH207" s="199"/>
      <c r="BXI207" s="199"/>
      <c r="BXJ207" s="199"/>
      <c r="BXK207" s="199"/>
      <c r="BXL207" s="199"/>
      <c r="BXM207" s="199"/>
      <c r="BXN207" s="199"/>
      <c r="BXO207" s="199"/>
      <c r="BXP207" s="199"/>
      <c r="BXQ207" s="199"/>
      <c r="BXR207" s="199"/>
      <c r="BXS207" s="199"/>
      <c r="BXT207" s="199"/>
      <c r="BXU207" s="199"/>
      <c r="BXV207" s="199"/>
      <c r="BXW207" s="199"/>
      <c r="BXX207" s="199"/>
      <c r="BXY207" s="199"/>
      <c r="BXZ207" s="199"/>
      <c r="BYA207" s="199"/>
      <c r="BYB207" s="199"/>
      <c r="BYC207" s="199"/>
      <c r="BYD207" s="199"/>
      <c r="BYE207" s="199"/>
      <c r="BYF207" s="199"/>
      <c r="BYG207" s="199"/>
      <c r="BYH207" s="199"/>
      <c r="BYI207" s="199"/>
      <c r="BYJ207" s="199"/>
      <c r="BYK207" s="199"/>
      <c r="BYL207" s="199"/>
      <c r="BYM207" s="199"/>
      <c r="BYN207" s="199"/>
      <c r="BYO207" s="199"/>
      <c r="BYP207" s="199"/>
      <c r="BYQ207" s="199"/>
      <c r="BYR207" s="199"/>
      <c r="BYS207" s="199"/>
      <c r="BYT207" s="199"/>
      <c r="BYU207" s="199"/>
      <c r="BYV207" s="199"/>
      <c r="BYW207" s="199"/>
      <c r="BYX207" s="199"/>
      <c r="BYY207" s="199"/>
      <c r="BYZ207" s="199"/>
      <c r="BZA207" s="199"/>
      <c r="BZB207" s="199"/>
      <c r="BZC207" s="199"/>
      <c r="BZD207" s="199"/>
      <c r="BZE207" s="199"/>
      <c r="BZF207" s="199"/>
      <c r="BZG207" s="199"/>
      <c r="BZH207" s="199"/>
      <c r="BZI207" s="199"/>
      <c r="BZJ207" s="199"/>
      <c r="BZK207" s="199"/>
      <c r="BZL207" s="199"/>
      <c r="BZM207" s="199"/>
      <c r="BZN207" s="199"/>
      <c r="BZO207" s="199"/>
      <c r="BZP207" s="199"/>
      <c r="BZQ207" s="199"/>
      <c r="BZR207" s="199"/>
      <c r="BZS207" s="199"/>
      <c r="BZT207" s="199"/>
      <c r="BZU207" s="199"/>
      <c r="BZV207" s="199"/>
      <c r="BZW207" s="199"/>
      <c r="BZX207" s="199"/>
      <c r="BZY207" s="199"/>
      <c r="BZZ207" s="199"/>
      <c r="CAA207" s="199"/>
      <c r="CAB207" s="199"/>
      <c r="CAC207" s="199"/>
      <c r="CAD207" s="199"/>
      <c r="CAE207" s="199"/>
      <c r="CAF207" s="199"/>
      <c r="CAG207" s="199"/>
      <c r="CAH207" s="199"/>
      <c r="CAI207" s="199"/>
      <c r="CAJ207" s="199"/>
      <c r="CAK207" s="199"/>
      <c r="CAL207" s="199"/>
      <c r="CAM207" s="199"/>
      <c r="CAN207" s="199"/>
      <c r="CAO207" s="199"/>
      <c r="CAP207" s="199"/>
      <c r="CAQ207" s="199"/>
      <c r="CAR207" s="199"/>
      <c r="CAS207" s="199"/>
      <c r="CAT207" s="199"/>
      <c r="CAU207" s="199"/>
      <c r="CAV207" s="199"/>
      <c r="CAW207" s="199"/>
      <c r="CAX207" s="199"/>
      <c r="CAY207" s="199"/>
      <c r="CAZ207" s="199"/>
      <c r="CBA207" s="199"/>
      <c r="CBB207" s="199"/>
      <c r="CBC207" s="199"/>
      <c r="CBD207" s="199"/>
      <c r="CBE207" s="199"/>
      <c r="CBF207" s="199"/>
      <c r="CBG207" s="199"/>
      <c r="CBH207" s="199"/>
      <c r="CBI207" s="199"/>
      <c r="CBJ207" s="199"/>
      <c r="CBK207" s="199"/>
      <c r="CBL207" s="199"/>
      <c r="CBM207" s="199"/>
      <c r="CBN207" s="199"/>
      <c r="CBO207" s="199"/>
      <c r="CBP207" s="199"/>
      <c r="CBQ207" s="199"/>
      <c r="CBR207" s="199"/>
      <c r="CBS207" s="199"/>
      <c r="CBT207" s="199"/>
      <c r="CBU207" s="199"/>
      <c r="CBV207" s="199"/>
      <c r="CBW207" s="199"/>
      <c r="CBX207" s="199"/>
      <c r="CBY207" s="199"/>
      <c r="CBZ207" s="199"/>
      <c r="CCA207" s="199"/>
      <c r="CCB207" s="199"/>
      <c r="CCC207" s="199"/>
      <c r="CCD207" s="199"/>
      <c r="CCE207" s="199"/>
      <c r="CCF207" s="199"/>
      <c r="CCG207" s="199"/>
      <c r="CCH207" s="199"/>
      <c r="CCI207" s="199"/>
      <c r="CCJ207" s="199"/>
      <c r="CCK207" s="199"/>
      <c r="CCL207" s="199"/>
      <c r="CCM207" s="199"/>
      <c r="CCN207" s="199"/>
      <c r="CCO207" s="199"/>
      <c r="CCP207" s="199"/>
      <c r="CCQ207" s="199"/>
      <c r="CCR207" s="199"/>
      <c r="CCS207" s="199"/>
      <c r="CCT207" s="199"/>
      <c r="CCU207" s="199"/>
      <c r="CCV207" s="199"/>
      <c r="CCW207" s="199"/>
      <c r="CCX207" s="199"/>
      <c r="CCY207" s="199"/>
      <c r="CCZ207" s="199"/>
      <c r="CDA207" s="199"/>
      <c r="CDB207" s="199"/>
      <c r="CDC207" s="199"/>
      <c r="CDD207" s="199"/>
      <c r="CDE207" s="199"/>
      <c r="CDF207" s="199"/>
      <c r="CDG207" s="199"/>
      <c r="CDH207" s="199"/>
      <c r="CDI207" s="199"/>
      <c r="CDJ207" s="199"/>
      <c r="CDK207" s="199"/>
      <c r="CDL207" s="199"/>
      <c r="CDM207" s="199"/>
      <c r="CDN207" s="199"/>
      <c r="CDO207" s="199"/>
      <c r="CDP207" s="199"/>
      <c r="CDQ207" s="199"/>
      <c r="CDR207" s="199"/>
      <c r="CDS207" s="199"/>
      <c r="CDT207" s="199"/>
      <c r="CDU207" s="199"/>
      <c r="CDV207" s="199"/>
      <c r="CDW207" s="199"/>
      <c r="CDX207" s="199"/>
      <c r="CDY207" s="199"/>
      <c r="CDZ207" s="199"/>
      <c r="CEA207" s="199"/>
      <c r="CEB207" s="199"/>
      <c r="CEC207" s="199"/>
      <c r="CED207" s="199"/>
      <c r="CEE207" s="199"/>
      <c r="CEF207" s="199"/>
      <c r="CEG207" s="199"/>
      <c r="CEH207" s="199"/>
      <c r="CEI207" s="199"/>
      <c r="CEJ207" s="199"/>
      <c r="CEK207" s="199"/>
      <c r="CEL207" s="199"/>
      <c r="CEM207" s="199"/>
      <c r="CEN207" s="199"/>
      <c r="CEO207" s="199"/>
      <c r="CEP207" s="199"/>
      <c r="CEQ207" s="199"/>
      <c r="CER207" s="199"/>
      <c r="CES207" s="199"/>
      <c r="CET207" s="199"/>
      <c r="CEU207" s="199"/>
      <c r="CEV207" s="199"/>
      <c r="CEW207" s="199"/>
      <c r="CEX207" s="199"/>
      <c r="CEY207" s="199"/>
      <c r="CEZ207" s="199"/>
      <c r="CFA207" s="199"/>
      <c r="CFB207" s="199"/>
      <c r="CFC207" s="199"/>
      <c r="CFD207" s="199"/>
      <c r="CFE207" s="199"/>
      <c r="CFF207" s="199"/>
      <c r="CFG207" s="199"/>
      <c r="CFH207" s="199"/>
      <c r="CFI207" s="199"/>
      <c r="CFJ207" s="199"/>
      <c r="CFK207" s="199"/>
      <c r="CFL207" s="199"/>
      <c r="CFM207" s="199"/>
      <c r="CFN207" s="199"/>
      <c r="CFO207" s="199"/>
      <c r="CFP207" s="199"/>
      <c r="CFQ207" s="199"/>
      <c r="CFR207" s="199"/>
      <c r="CFS207" s="199"/>
      <c r="CFT207" s="199"/>
      <c r="CFU207" s="199"/>
      <c r="CFV207" s="199"/>
      <c r="CFW207" s="199"/>
      <c r="CFX207" s="199"/>
      <c r="CFY207" s="199"/>
      <c r="CFZ207" s="199"/>
      <c r="CGA207" s="199"/>
      <c r="CGB207" s="199"/>
      <c r="CGC207" s="199"/>
      <c r="CGD207" s="199"/>
      <c r="CGE207" s="199"/>
      <c r="CGF207" s="199"/>
      <c r="CGG207" s="199"/>
      <c r="CGH207" s="199"/>
      <c r="CGI207" s="199"/>
      <c r="CGJ207" s="199"/>
      <c r="CGK207" s="199"/>
      <c r="CGL207" s="199"/>
      <c r="CGM207" s="199"/>
      <c r="CGN207" s="199"/>
      <c r="CGO207" s="199"/>
      <c r="CGP207" s="199"/>
      <c r="CGQ207" s="199"/>
      <c r="CGR207" s="199"/>
      <c r="CGS207" s="199"/>
      <c r="CGT207" s="199"/>
      <c r="CGU207" s="199"/>
      <c r="CGV207" s="199"/>
      <c r="CGW207" s="199"/>
      <c r="CGX207" s="199"/>
      <c r="CGY207" s="199"/>
      <c r="CGZ207" s="199"/>
      <c r="CHA207" s="199"/>
      <c r="CHB207" s="199"/>
      <c r="CHC207" s="199"/>
      <c r="CHD207" s="199"/>
      <c r="CHE207" s="199"/>
      <c r="CHF207" s="199"/>
      <c r="CHG207" s="199"/>
      <c r="CHH207" s="199"/>
      <c r="CHI207" s="199"/>
      <c r="CHJ207" s="199"/>
      <c r="CHK207" s="199"/>
      <c r="CHL207" s="199"/>
      <c r="CHM207" s="199"/>
      <c r="CHN207" s="199"/>
      <c r="CHO207" s="199"/>
      <c r="CHP207" s="199"/>
      <c r="CHQ207" s="199"/>
      <c r="CHR207" s="199"/>
      <c r="CHS207" s="199"/>
      <c r="CHT207" s="199"/>
      <c r="CHU207" s="199"/>
      <c r="CHV207" s="199"/>
      <c r="CHW207" s="199"/>
      <c r="CHX207" s="199"/>
      <c r="CHY207" s="199"/>
      <c r="CHZ207" s="199"/>
      <c r="CIA207" s="199"/>
      <c r="CIB207" s="199"/>
      <c r="CIC207" s="199"/>
      <c r="CID207" s="199"/>
      <c r="CIE207" s="199"/>
      <c r="CIF207" s="199"/>
      <c r="CIG207" s="199"/>
      <c r="CIH207" s="199"/>
      <c r="CII207" s="199"/>
      <c r="CIJ207" s="199"/>
      <c r="CIK207" s="199"/>
      <c r="CIL207" s="199"/>
      <c r="CIM207" s="199"/>
      <c r="CIN207" s="199"/>
      <c r="CIO207" s="199"/>
      <c r="CIP207" s="199"/>
      <c r="CIQ207" s="199"/>
      <c r="CIR207" s="199"/>
      <c r="CIS207" s="199"/>
      <c r="CIT207" s="199"/>
      <c r="CIU207" s="199"/>
      <c r="CIV207" s="199"/>
      <c r="CIW207" s="199"/>
      <c r="CIX207" s="199"/>
      <c r="CIY207" s="199"/>
      <c r="CIZ207" s="199"/>
      <c r="CJA207" s="199"/>
      <c r="CJB207" s="199"/>
      <c r="CJC207" s="199"/>
      <c r="CJD207" s="199"/>
      <c r="CJE207" s="199"/>
      <c r="CJF207" s="199"/>
      <c r="CJG207" s="199"/>
      <c r="CJH207" s="199"/>
      <c r="CJI207" s="199"/>
      <c r="CJJ207" s="199"/>
      <c r="CJK207" s="199"/>
      <c r="CJL207" s="199"/>
      <c r="CJM207" s="199"/>
      <c r="CJN207" s="199"/>
      <c r="CJO207" s="199"/>
      <c r="CJP207" s="199"/>
      <c r="CJQ207" s="199"/>
      <c r="CJR207" s="199"/>
      <c r="CJS207" s="199"/>
      <c r="CJT207" s="199"/>
      <c r="CJU207" s="199"/>
      <c r="CJV207" s="199"/>
      <c r="CJW207" s="199"/>
      <c r="CJX207" s="199"/>
      <c r="CJY207" s="199"/>
      <c r="CJZ207" s="199"/>
      <c r="CKA207" s="199"/>
      <c r="CKB207" s="199"/>
      <c r="CKC207" s="199"/>
      <c r="CKD207" s="199"/>
      <c r="CKE207" s="199"/>
      <c r="CKF207" s="199"/>
      <c r="CKG207" s="199"/>
      <c r="CKH207" s="199"/>
      <c r="CKI207" s="199"/>
      <c r="CKJ207" s="199"/>
      <c r="CKK207" s="199"/>
      <c r="CKL207" s="199"/>
      <c r="CKM207" s="199"/>
      <c r="CKN207" s="199"/>
      <c r="CKO207" s="199"/>
      <c r="CKP207" s="199"/>
      <c r="CKQ207" s="199"/>
      <c r="CKR207" s="199"/>
      <c r="CKS207" s="199"/>
      <c r="CKT207" s="199"/>
      <c r="CKU207" s="199"/>
      <c r="CKV207" s="199"/>
      <c r="CKW207" s="199"/>
      <c r="CKX207" s="199"/>
      <c r="CKY207" s="199"/>
      <c r="CKZ207" s="199"/>
      <c r="CLA207" s="199"/>
      <c r="CLB207" s="199"/>
      <c r="CLC207" s="199"/>
      <c r="CLD207" s="199"/>
      <c r="CLE207" s="199"/>
      <c r="CLF207" s="199"/>
      <c r="CLG207" s="199"/>
      <c r="CLH207" s="199"/>
      <c r="CLI207" s="199"/>
      <c r="CLJ207" s="199"/>
      <c r="CLK207" s="199"/>
      <c r="CLL207" s="199"/>
      <c r="CLM207" s="199"/>
      <c r="CLN207" s="199"/>
      <c r="CLO207" s="199"/>
      <c r="CLP207" s="199"/>
      <c r="CLQ207" s="199"/>
      <c r="CLR207" s="199"/>
      <c r="CLS207" s="199"/>
      <c r="CLT207" s="199"/>
      <c r="CLU207" s="199"/>
      <c r="CLV207" s="199"/>
      <c r="CLW207" s="199"/>
      <c r="CLX207" s="199"/>
      <c r="CLY207" s="199"/>
      <c r="CLZ207" s="199"/>
      <c r="CMA207" s="199"/>
      <c r="CMB207" s="199"/>
      <c r="CMC207" s="199"/>
      <c r="CMD207" s="199"/>
      <c r="CME207" s="199"/>
      <c r="CMF207" s="199"/>
      <c r="CMG207" s="199"/>
      <c r="CMH207" s="199"/>
      <c r="CMI207" s="199"/>
      <c r="CMJ207" s="199"/>
      <c r="CMK207" s="199"/>
      <c r="CML207" s="199"/>
      <c r="CMM207" s="199"/>
      <c r="CMN207" s="199"/>
      <c r="CMO207" s="199"/>
      <c r="CMP207" s="199"/>
      <c r="CMQ207" s="199"/>
      <c r="CMR207" s="199"/>
      <c r="CMS207" s="199"/>
      <c r="CMT207" s="199"/>
      <c r="CMU207" s="199"/>
      <c r="CMV207" s="199"/>
      <c r="CMW207" s="199"/>
      <c r="CMX207" s="199"/>
      <c r="CMY207" s="199"/>
      <c r="CMZ207" s="199"/>
      <c r="CNA207" s="199"/>
      <c r="CNB207" s="199"/>
      <c r="CNC207" s="199"/>
      <c r="CND207" s="199"/>
      <c r="CNE207" s="199"/>
      <c r="CNF207" s="199"/>
      <c r="CNG207" s="199"/>
      <c r="CNH207" s="199"/>
      <c r="CNI207" s="199"/>
      <c r="CNJ207" s="199"/>
      <c r="CNK207" s="199"/>
      <c r="CNL207" s="199"/>
      <c r="CNM207" s="199"/>
      <c r="CNN207" s="199"/>
      <c r="CNO207" s="199"/>
      <c r="CNP207" s="199"/>
      <c r="CNQ207" s="199"/>
      <c r="CNR207" s="199"/>
      <c r="CNS207" s="199"/>
      <c r="CNT207" s="199"/>
      <c r="CNU207" s="199"/>
      <c r="CNV207" s="199"/>
      <c r="CNW207" s="199"/>
      <c r="CNX207" s="199"/>
      <c r="CNY207" s="199"/>
      <c r="CNZ207" s="199"/>
      <c r="COA207" s="199"/>
      <c r="COB207" s="199"/>
      <c r="COC207" s="199"/>
      <c r="COD207" s="199"/>
      <c r="COE207" s="199"/>
      <c r="COF207" s="199"/>
      <c r="COG207" s="199"/>
      <c r="COH207" s="199"/>
      <c r="COI207" s="199"/>
      <c r="COJ207" s="199"/>
      <c r="COK207" s="199"/>
      <c r="COL207" s="199"/>
      <c r="COM207" s="199"/>
      <c r="CON207" s="199"/>
      <c r="COO207" s="199"/>
      <c r="COP207" s="199"/>
      <c r="COQ207" s="199"/>
      <c r="COR207" s="199"/>
      <c r="COS207" s="199"/>
      <c r="COT207" s="199"/>
      <c r="COU207" s="199"/>
      <c r="COV207" s="199"/>
      <c r="COW207" s="199"/>
      <c r="COX207" s="199"/>
      <c r="COY207" s="199"/>
      <c r="COZ207" s="199"/>
      <c r="CPA207" s="199"/>
      <c r="CPB207" s="199"/>
      <c r="CPC207" s="199"/>
      <c r="CPD207" s="199"/>
      <c r="CPE207" s="199"/>
      <c r="CPF207" s="199"/>
      <c r="CPG207" s="199"/>
      <c r="CPH207" s="199"/>
      <c r="CPI207" s="199"/>
      <c r="CPJ207" s="199"/>
      <c r="CPK207" s="199"/>
      <c r="CPL207" s="199"/>
      <c r="CPM207" s="199"/>
      <c r="CPN207" s="199"/>
      <c r="CPO207" s="199"/>
      <c r="CPP207" s="199"/>
      <c r="CPQ207" s="199"/>
      <c r="CPR207" s="199"/>
      <c r="CPS207" s="199"/>
      <c r="CPT207" s="199"/>
      <c r="CPU207" s="199"/>
      <c r="CPV207" s="199"/>
      <c r="CPW207" s="199"/>
      <c r="CPX207" s="199"/>
      <c r="CPY207" s="199"/>
      <c r="CPZ207" s="199"/>
      <c r="CQA207" s="199"/>
      <c r="CQB207" s="199"/>
      <c r="CQC207" s="199"/>
      <c r="CQD207" s="199"/>
      <c r="CQE207" s="199"/>
      <c r="CQF207" s="199"/>
      <c r="CQG207" s="199"/>
      <c r="CQH207" s="199"/>
      <c r="CQI207" s="199"/>
      <c r="CQJ207" s="199"/>
      <c r="CQK207" s="199"/>
      <c r="CQL207" s="199"/>
      <c r="CQM207" s="199"/>
      <c r="CQN207" s="199"/>
      <c r="CQO207" s="199"/>
      <c r="CQP207" s="199"/>
      <c r="CQQ207" s="199"/>
      <c r="CQR207" s="199"/>
      <c r="CQS207" s="199"/>
      <c r="CQT207" s="199"/>
      <c r="CQU207" s="199"/>
      <c r="CQV207" s="199"/>
      <c r="CQW207" s="199"/>
      <c r="CQX207" s="199"/>
      <c r="CQY207" s="199"/>
      <c r="CQZ207" s="199"/>
      <c r="CRA207" s="199"/>
      <c r="CRB207" s="199"/>
      <c r="CRC207" s="199"/>
      <c r="CRD207" s="199"/>
      <c r="CRE207" s="199"/>
      <c r="CRF207" s="199"/>
      <c r="CRG207" s="199"/>
      <c r="CRH207" s="199"/>
      <c r="CRI207" s="199"/>
      <c r="CRJ207" s="199"/>
      <c r="CRK207" s="199"/>
      <c r="CRL207" s="199"/>
      <c r="CRM207" s="199"/>
      <c r="CRN207" s="199"/>
      <c r="CRO207" s="199"/>
      <c r="CRP207" s="199"/>
      <c r="CRQ207" s="199"/>
      <c r="CRR207" s="199"/>
      <c r="CRS207" s="199"/>
      <c r="CRT207" s="199"/>
      <c r="CRU207" s="199"/>
      <c r="CRV207" s="199"/>
      <c r="CRW207" s="199"/>
      <c r="CRX207" s="199"/>
      <c r="CRY207" s="199"/>
      <c r="CRZ207" s="199"/>
      <c r="CSA207" s="199"/>
      <c r="CSB207" s="199"/>
      <c r="CSC207" s="199"/>
      <c r="CSD207" s="199"/>
      <c r="CSE207" s="199"/>
      <c r="CSF207" s="199"/>
      <c r="CSG207" s="199"/>
      <c r="CSH207" s="199"/>
      <c r="CSI207" s="199"/>
      <c r="CSJ207" s="199"/>
      <c r="CSK207" s="199"/>
      <c r="CSL207" s="199"/>
      <c r="CSM207" s="199"/>
      <c r="CSN207" s="199"/>
      <c r="CSO207" s="199"/>
      <c r="CSP207" s="199"/>
      <c r="CSQ207" s="199"/>
      <c r="CSR207" s="199"/>
      <c r="CSS207" s="199"/>
      <c r="CST207" s="199"/>
      <c r="CSU207" s="199"/>
      <c r="CSV207" s="199"/>
      <c r="CSW207" s="199"/>
      <c r="CSX207" s="199"/>
      <c r="CSY207" s="199"/>
      <c r="CSZ207" s="199"/>
      <c r="CTA207" s="199"/>
      <c r="CTB207" s="199"/>
      <c r="CTC207" s="199"/>
      <c r="CTD207" s="199"/>
      <c r="CTE207" s="199"/>
      <c r="CTF207" s="199"/>
      <c r="CTG207" s="199"/>
      <c r="CTH207" s="199"/>
      <c r="CTI207" s="199"/>
      <c r="CTJ207" s="199"/>
      <c r="CTK207" s="199"/>
      <c r="CTL207" s="199"/>
      <c r="CTM207" s="199"/>
      <c r="CTN207" s="199"/>
      <c r="CTO207" s="199"/>
      <c r="CTP207" s="199"/>
      <c r="CTQ207" s="199"/>
      <c r="CTR207" s="199"/>
      <c r="CTS207" s="199"/>
      <c r="CTT207" s="199"/>
      <c r="CTU207" s="199"/>
      <c r="CTV207" s="199"/>
      <c r="CTW207" s="199"/>
      <c r="CTX207" s="199"/>
      <c r="CTY207" s="199"/>
      <c r="CTZ207" s="199"/>
      <c r="CUA207" s="199"/>
      <c r="CUB207" s="199"/>
      <c r="CUC207" s="199"/>
      <c r="CUD207" s="199"/>
      <c r="CUE207" s="199"/>
      <c r="CUF207" s="199"/>
      <c r="CUG207" s="199"/>
      <c r="CUH207" s="199"/>
      <c r="CUI207" s="199"/>
      <c r="CUJ207" s="199"/>
      <c r="CUK207" s="199"/>
      <c r="CUL207" s="199"/>
      <c r="CUM207" s="199"/>
      <c r="CUN207" s="199"/>
      <c r="CUO207" s="199"/>
      <c r="CUP207" s="199"/>
      <c r="CUQ207" s="199"/>
      <c r="CUR207" s="199"/>
      <c r="CUS207" s="199"/>
      <c r="CUT207" s="199"/>
      <c r="CUU207" s="199"/>
      <c r="CUV207" s="199"/>
      <c r="CUW207" s="199"/>
      <c r="CUX207" s="199"/>
      <c r="CUY207" s="199"/>
      <c r="CUZ207" s="199"/>
      <c r="CVA207" s="199"/>
      <c r="CVB207" s="199"/>
      <c r="CVC207" s="199"/>
      <c r="CVD207" s="199"/>
      <c r="CVE207" s="199"/>
      <c r="CVF207" s="199"/>
      <c r="CVG207" s="199"/>
      <c r="CVH207" s="199"/>
      <c r="CVI207" s="199"/>
      <c r="CVJ207" s="199"/>
      <c r="CVK207" s="199"/>
      <c r="CVL207" s="199"/>
      <c r="CVM207" s="199"/>
      <c r="CVN207" s="199"/>
      <c r="CVO207" s="199"/>
      <c r="CVP207" s="199"/>
      <c r="CVQ207" s="199"/>
      <c r="CVR207" s="199"/>
      <c r="CVS207" s="199"/>
      <c r="CVT207" s="199"/>
      <c r="CVU207" s="199"/>
      <c r="CVV207" s="199"/>
      <c r="CVW207" s="199"/>
      <c r="CVX207" s="199"/>
      <c r="CVY207" s="199"/>
      <c r="CVZ207" s="199"/>
      <c r="CWA207" s="199"/>
      <c r="CWB207" s="199"/>
      <c r="CWC207" s="199"/>
      <c r="CWD207" s="199"/>
      <c r="CWE207" s="199"/>
      <c r="CWF207" s="199"/>
      <c r="CWG207" s="199"/>
      <c r="CWH207" s="199"/>
      <c r="CWI207" s="199"/>
      <c r="CWJ207" s="199"/>
      <c r="CWK207" s="199"/>
      <c r="CWL207" s="199"/>
      <c r="CWM207" s="199"/>
      <c r="CWN207" s="199"/>
      <c r="CWO207" s="199"/>
      <c r="CWP207" s="199"/>
      <c r="CWQ207" s="199"/>
      <c r="CWR207" s="199"/>
      <c r="CWS207" s="199"/>
      <c r="CWT207" s="199"/>
      <c r="CWU207" s="199"/>
      <c r="CWV207" s="199"/>
      <c r="CWW207" s="199"/>
      <c r="CWX207" s="199"/>
      <c r="CWY207" s="199"/>
      <c r="CWZ207" s="199"/>
      <c r="CXA207" s="199"/>
      <c r="CXB207" s="199"/>
      <c r="CXC207" s="199"/>
      <c r="CXD207" s="199"/>
      <c r="CXE207" s="199"/>
      <c r="CXF207" s="199"/>
      <c r="CXG207" s="199"/>
      <c r="CXH207" s="199"/>
      <c r="CXI207" s="199"/>
      <c r="CXJ207" s="199"/>
      <c r="CXK207" s="199"/>
      <c r="CXL207" s="199"/>
      <c r="CXM207" s="199"/>
      <c r="CXN207" s="199"/>
      <c r="CXO207" s="199"/>
      <c r="CXP207" s="199"/>
      <c r="CXQ207" s="199"/>
      <c r="CXR207" s="199"/>
      <c r="CXS207" s="199"/>
      <c r="CXT207" s="199"/>
      <c r="CXU207" s="199"/>
      <c r="CXV207" s="199"/>
      <c r="CXW207" s="199"/>
      <c r="CXX207" s="199"/>
      <c r="CXY207" s="199"/>
      <c r="CXZ207" s="199"/>
      <c r="CYA207" s="199"/>
      <c r="CYB207" s="199"/>
      <c r="CYC207" s="199"/>
      <c r="CYD207" s="199"/>
      <c r="CYE207" s="199"/>
      <c r="CYF207" s="199"/>
      <c r="CYG207" s="199"/>
      <c r="CYH207" s="199"/>
      <c r="CYI207" s="199"/>
      <c r="CYJ207" s="199"/>
      <c r="CYK207" s="199"/>
      <c r="CYL207" s="199"/>
      <c r="CYM207" s="199"/>
      <c r="CYN207" s="199"/>
      <c r="CYO207" s="199"/>
      <c r="CYP207" s="199"/>
      <c r="CYQ207" s="199"/>
      <c r="CYR207" s="199"/>
      <c r="CYS207" s="199"/>
      <c r="CYT207" s="199"/>
      <c r="CYU207" s="199"/>
      <c r="CYV207" s="199"/>
      <c r="CYW207" s="199"/>
      <c r="CYX207" s="199"/>
      <c r="CYY207" s="199"/>
      <c r="CYZ207" s="199"/>
      <c r="CZA207" s="199"/>
      <c r="CZB207" s="199"/>
      <c r="CZC207" s="199"/>
      <c r="CZD207" s="199"/>
      <c r="CZE207" s="199"/>
      <c r="CZF207" s="199"/>
      <c r="CZG207" s="199"/>
      <c r="CZH207" s="199"/>
      <c r="CZI207" s="199"/>
      <c r="CZJ207" s="199"/>
      <c r="CZK207" s="199"/>
      <c r="CZL207" s="199"/>
      <c r="CZM207" s="199"/>
      <c r="CZN207" s="199"/>
      <c r="CZO207" s="199"/>
      <c r="CZP207" s="199"/>
      <c r="CZQ207" s="199"/>
      <c r="CZR207" s="199"/>
      <c r="CZS207" s="199"/>
      <c r="CZT207" s="199"/>
      <c r="CZU207" s="199"/>
      <c r="CZV207" s="199"/>
      <c r="CZW207" s="199"/>
      <c r="CZX207" s="199"/>
      <c r="CZY207" s="199"/>
      <c r="CZZ207" s="199"/>
      <c r="DAA207" s="199"/>
      <c r="DAB207" s="199"/>
      <c r="DAC207" s="199"/>
      <c r="DAD207" s="199"/>
      <c r="DAE207" s="199"/>
      <c r="DAF207" s="199"/>
      <c r="DAG207" s="199"/>
      <c r="DAH207" s="199"/>
      <c r="DAI207" s="199"/>
      <c r="DAJ207" s="199"/>
      <c r="DAK207" s="199"/>
      <c r="DAL207" s="199"/>
      <c r="DAM207" s="199"/>
      <c r="DAN207" s="199"/>
      <c r="DAO207" s="199"/>
      <c r="DAP207" s="199"/>
      <c r="DAQ207" s="199"/>
      <c r="DAR207" s="199"/>
      <c r="DAS207" s="199"/>
      <c r="DAT207" s="199"/>
      <c r="DAU207" s="199"/>
      <c r="DAV207" s="199"/>
      <c r="DAW207" s="199"/>
      <c r="DAX207" s="199"/>
      <c r="DAY207" s="199"/>
      <c r="DAZ207" s="199"/>
      <c r="DBA207" s="199"/>
      <c r="DBB207" s="199"/>
      <c r="DBC207" s="199"/>
      <c r="DBD207" s="199"/>
      <c r="DBE207" s="199"/>
      <c r="DBF207" s="199"/>
      <c r="DBG207" s="199"/>
      <c r="DBH207" s="199"/>
      <c r="DBI207" s="199"/>
      <c r="DBJ207" s="199"/>
      <c r="DBK207" s="199"/>
      <c r="DBL207" s="199"/>
      <c r="DBM207" s="199"/>
      <c r="DBN207" s="199"/>
      <c r="DBO207" s="199"/>
      <c r="DBP207" s="199"/>
      <c r="DBQ207" s="199"/>
      <c r="DBR207" s="199"/>
      <c r="DBS207" s="199"/>
      <c r="DBT207" s="199"/>
      <c r="DBU207" s="199"/>
      <c r="DBV207" s="199"/>
      <c r="DBW207" s="199"/>
      <c r="DBX207" s="199"/>
      <c r="DBY207" s="199"/>
      <c r="DBZ207" s="199"/>
      <c r="DCA207" s="199"/>
      <c r="DCB207" s="199"/>
      <c r="DCC207" s="199"/>
      <c r="DCD207" s="199"/>
      <c r="DCE207" s="199"/>
      <c r="DCF207" s="199"/>
      <c r="DCG207" s="199"/>
      <c r="DCH207" s="199"/>
      <c r="DCI207" s="199"/>
      <c r="DCJ207" s="199"/>
      <c r="DCK207" s="199"/>
      <c r="DCL207" s="199"/>
      <c r="DCM207" s="199"/>
      <c r="DCN207" s="199"/>
      <c r="DCO207" s="199"/>
      <c r="DCP207" s="199"/>
      <c r="DCQ207" s="199"/>
      <c r="DCR207" s="199"/>
      <c r="DCS207" s="199"/>
      <c r="DCT207" s="199"/>
      <c r="DCU207" s="199"/>
      <c r="DCV207" s="199"/>
      <c r="DCW207" s="199"/>
      <c r="DCX207" s="199"/>
      <c r="DCY207" s="199"/>
      <c r="DCZ207" s="199"/>
      <c r="DDA207" s="199"/>
      <c r="DDB207" s="199"/>
      <c r="DDC207" s="199"/>
      <c r="DDD207" s="199"/>
      <c r="DDE207" s="199"/>
      <c r="DDF207" s="199"/>
      <c r="DDG207" s="199"/>
      <c r="DDH207" s="199"/>
      <c r="DDI207" s="199"/>
      <c r="DDJ207" s="199"/>
      <c r="DDK207" s="199"/>
      <c r="DDL207" s="199"/>
      <c r="DDM207" s="199"/>
      <c r="DDN207" s="199"/>
      <c r="DDO207" s="199"/>
      <c r="DDP207" s="199"/>
      <c r="DDQ207" s="199"/>
      <c r="DDR207" s="199"/>
      <c r="DDS207" s="199"/>
      <c r="DDT207" s="199"/>
      <c r="DDU207" s="199"/>
      <c r="DDV207" s="199"/>
      <c r="DDW207" s="199"/>
      <c r="DDX207" s="199"/>
      <c r="DDY207" s="199"/>
      <c r="DDZ207" s="199"/>
      <c r="DEA207" s="199"/>
      <c r="DEB207" s="199"/>
      <c r="DEC207" s="199"/>
      <c r="DED207" s="199"/>
      <c r="DEE207" s="199"/>
      <c r="DEF207" s="199"/>
      <c r="DEG207" s="199"/>
      <c r="DEH207" s="199"/>
      <c r="DEI207" s="199"/>
      <c r="DEJ207" s="199"/>
      <c r="DEK207" s="199"/>
      <c r="DEL207" s="199"/>
      <c r="DEM207" s="199"/>
      <c r="DEN207" s="199"/>
      <c r="DEO207" s="199"/>
      <c r="DEP207" s="199"/>
      <c r="DEQ207" s="199"/>
      <c r="DER207" s="199"/>
      <c r="DES207" s="199"/>
      <c r="DET207" s="199"/>
      <c r="DEU207" s="199"/>
      <c r="DEV207" s="199"/>
      <c r="DEW207" s="199"/>
      <c r="DEX207" s="199"/>
      <c r="DEY207" s="199"/>
      <c r="DEZ207" s="199"/>
      <c r="DFA207" s="199"/>
      <c r="DFB207" s="199"/>
      <c r="DFC207" s="199"/>
      <c r="DFD207" s="199"/>
      <c r="DFE207" s="199"/>
      <c r="DFF207" s="199"/>
      <c r="DFG207" s="199"/>
      <c r="DFH207" s="199"/>
      <c r="DFI207" s="199"/>
      <c r="DFJ207" s="199"/>
      <c r="DFK207" s="199"/>
      <c r="DFL207" s="199"/>
      <c r="DFM207" s="199"/>
      <c r="DFN207" s="199"/>
      <c r="DFO207" s="199"/>
      <c r="DFP207" s="199"/>
      <c r="DFQ207" s="199"/>
      <c r="DFR207" s="199"/>
      <c r="DFS207" s="199"/>
      <c r="DFT207" s="199"/>
      <c r="DFU207" s="199"/>
      <c r="DFV207" s="199"/>
      <c r="DFW207" s="199"/>
      <c r="DFX207" s="199"/>
      <c r="DFY207" s="199"/>
      <c r="DFZ207" s="199"/>
      <c r="DGA207" s="199"/>
      <c r="DGB207" s="199"/>
      <c r="DGC207" s="199"/>
      <c r="DGD207" s="199"/>
      <c r="DGE207" s="199"/>
      <c r="DGF207" s="199"/>
      <c r="DGG207" s="199"/>
      <c r="DGH207" s="199"/>
      <c r="DGI207" s="199"/>
      <c r="DGJ207" s="199"/>
      <c r="DGK207" s="199"/>
      <c r="DGL207" s="199"/>
      <c r="DGM207" s="199"/>
      <c r="DGN207" s="199"/>
      <c r="DGO207" s="199"/>
      <c r="DGP207" s="199"/>
      <c r="DGQ207" s="199"/>
      <c r="DGR207" s="199"/>
      <c r="DGS207" s="199"/>
      <c r="DGT207" s="199"/>
      <c r="DGU207" s="199"/>
      <c r="DGV207" s="199"/>
      <c r="DGW207" s="199"/>
      <c r="DGX207" s="199"/>
      <c r="DGY207" s="199"/>
      <c r="DGZ207" s="199"/>
      <c r="DHA207" s="199"/>
      <c r="DHB207" s="199"/>
      <c r="DHC207" s="199"/>
      <c r="DHD207" s="199"/>
      <c r="DHE207" s="199"/>
      <c r="DHF207" s="199"/>
      <c r="DHG207" s="199"/>
      <c r="DHH207" s="199"/>
      <c r="DHI207" s="199"/>
      <c r="DHJ207" s="199"/>
      <c r="DHK207" s="199"/>
      <c r="DHL207" s="199"/>
      <c r="DHM207" s="199"/>
      <c r="DHN207" s="199"/>
      <c r="DHO207" s="199"/>
      <c r="DHP207" s="199"/>
      <c r="DHQ207" s="199"/>
      <c r="DHR207" s="199"/>
      <c r="DHS207" s="199"/>
      <c r="DHT207" s="199"/>
      <c r="DHU207" s="199"/>
      <c r="DHV207" s="199"/>
      <c r="DHW207" s="199"/>
      <c r="DHX207" s="199"/>
      <c r="DHY207" s="199"/>
      <c r="DHZ207" s="199"/>
      <c r="DIA207" s="199"/>
      <c r="DIB207" s="199"/>
      <c r="DIC207" s="199"/>
      <c r="DID207" s="199"/>
      <c r="DIE207" s="199"/>
      <c r="DIF207" s="199"/>
      <c r="DIG207" s="199"/>
      <c r="DIH207" s="199"/>
      <c r="DII207" s="199"/>
      <c r="DIJ207" s="199"/>
      <c r="DIK207" s="199"/>
      <c r="DIL207" s="199"/>
      <c r="DIM207" s="199"/>
      <c r="DIN207" s="199"/>
      <c r="DIO207" s="199"/>
      <c r="DIP207" s="199"/>
      <c r="DIQ207" s="199"/>
      <c r="DIR207" s="199"/>
      <c r="DIS207" s="199"/>
      <c r="DIT207" s="199"/>
      <c r="DIU207" s="199"/>
      <c r="DIV207" s="199"/>
      <c r="DIW207" s="199"/>
      <c r="DIX207" s="199"/>
      <c r="DIY207" s="199"/>
      <c r="DIZ207" s="199"/>
      <c r="DJA207" s="199"/>
      <c r="DJB207" s="199"/>
      <c r="DJC207" s="199"/>
      <c r="DJD207" s="199"/>
      <c r="DJE207" s="199"/>
      <c r="DJF207" s="199"/>
      <c r="DJG207" s="199"/>
      <c r="DJH207" s="199"/>
      <c r="DJI207" s="199"/>
      <c r="DJJ207" s="199"/>
      <c r="DJK207" s="199"/>
      <c r="DJL207" s="199"/>
      <c r="DJM207" s="199"/>
      <c r="DJN207" s="199"/>
      <c r="DJO207" s="199"/>
      <c r="DJP207" s="199"/>
      <c r="DJQ207" s="199"/>
      <c r="DJR207" s="199"/>
      <c r="DJS207" s="199"/>
      <c r="DJT207" s="199"/>
      <c r="DJU207" s="199"/>
      <c r="DJV207" s="199"/>
      <c r="DJW207" s="199"/>
      <c r="DJX207" s="199"/>
      <c r="DJY207" s="199"/>
      <c r="DJZ207" s="199"/>
      <c r="DKA207" s="199"/>
      <c r="DKB207" s="199"/>
      <c r="DKC207" s="199"/>
      <c r="DKD207" s="199"/>
      <c r="DKE207" s="199"/>
      <c r="DKF207" s="199"/>
      <c r="DKG207" s="199"/>
      <c r="DKH207" s="199"/>
      <c r="DKI207" s="199"/>
      <c r="DKJ207" s="199"/>
      <c r="DKK207" s="199"/>
      <c r="DKL207" s="199"/>
      <c r="DKM207" s="199"/>
      <c r="DKN207" s="199"/>
      <c r="DKO207" s="199"/>
      <c r="DKP207" s="199"/>
      <c r="DKQ207" s="199"/>
      <c r="DKR207" s="199"/>
      <c r="DKS207" s="199"/>
      <c r="DKT207" s="199"/>
      <c r="DKU207" s="199"/>
      <c r="DKV207" s="199"/>
      <c r="DKW207" s="199"/>
      <c r="DKX207" s="199"/>
      <c r="DKY207" s="199"/>
      <c r="DKZ207" s="199"/>
      <c r="DLA207" s="199"/>
      <c r="DLB207" s="199"/>
      <c r="DLC207" s="199"/>
      <c r="DLD207" s="199"/>
      <c r="DLE207" s="199"/>
      <c r="DLF207" s="199"/>
      <c r="DLG207" s="199"/>
      <c r="DLH207" s="199"/>
      <c r="DLI207" s="199"/>
      <c r="DLJ207" s="199"/>
      <c r="DLK207" s="199"/>
      <c r="DLL207" s="199"/>
      <c r="DLM207" s="199"/>
      <c r="DLN207" s="199"/>
      <c r="DLO207" s="199"/>
      <c r="DLP207" s="199"/>
      <c r="DLQ207" s="199"/>
      <c r="DLR207" s="199"/>
      <c r="DLS207" s="199"/>
      <c r="DLT207" s="199"/>
      <c r="DLU207" s="199"/>
      <c r="DLV207" s="199"/>
      <c r="DLW207" s="199"/>
      <c r="DLX207" s="199"/>
      <c r="DLY207" s="199"/>
      <c r="DLZ207" s="199"/>
      <c r="DMA207" s="199"/>
      <c r="DMB207" s="199"/>
      <c r="DMC207" s="199"/>
      <c r="DMD207" s="199"/>
      <c r="DME207" s="199"/>
      <c r="DMF207" s="199"/>
      <c r="DMG207" s="199"/>
      <c r="DMH207" s="199"/>
      <c r="DMI207" s="199"/>
      <c r="DMJ207" s="199"/>
      <c r="DMK207" s="199"/>
      <c r="DML207" s="199"/>
      <c r="DMM207" s="199"/>
      <c r="DMN207" s="199"/>
      <c r="DMO207" s="199"/>
      <c r="DMP207" s="199"/>
      <c r="DMQ207" s="199"/>
      <c r="DMR207" s="199"/>
      <c r="DMS207" s="199"/>
      <c r="DMT207" s="199"/>
      <c r="DMU207" s="199"/>
      <c r="DMV207" s="199"/>
      <c r="DMW207" s="199"/>
      <c r="DMX207" s="199"/>
      <c r="DMY207" s="199"/>
      <c r="DMZ207" s="199"/>
      <c r="DNA207" s="199"/>
      <c r="DNB207" s="199"/>
      <c r="DNC207" s="199"/>
      <c r="DND207" s="199"/>
      <c r="DNE207" s="199"/>
      <c r="DNF207" s="199"/>
      <c r="DNG207" s="199"/>
      <c r="DNH207" s="199"/>
      <c r="DNI207" s="199"/>
      <c r="DNJ207" s="199"/>
      <c r="DNK207" s="199"/>
      <c r="DNL207" s="199"/>
      <c r="DNM207" s="199"/>
      <c r="DNN207" s="199"/>
      <c r="DNO207" s="199"/>
      <c r="DNP207" s="199"/>
      <c r="DNQ207" s="199"/>
      <c r="DNR207" s="199"/>
      <c r="DNS207" s="199"/>
      <c r="DNT207" s="199"/>
      <c r="DNU207" s="199"/>
      <c r="DNV207" s="199"/>
      <c r="DNW207" s="199"/>
      <c r="DNX207" s="199"/>
      <c r="DNY207" s="199"/>
      <c r="DNZ207" s="199"/>
      <c r="DOA207" s="199"/>
      <c r="DOB207" s="199"/>
      <c r="DOC207" s="199"/>
      <c r="DOD207" s="199"/>
      <c r="DOE207" s="199"/>
      <c r="DOF207" s="199"/>
      <c r="DOG207" s="199"/>
      <c r="DOH207" s="199"/>
      <c r="DOI207" s="199"/>
      <c r="DOJ207" s="199"/>
      <c r="DOK207" s="199"/>
      <c r="DOL207" s="199"/>
      <c r="DOM207" s="199"/>
      <c r="DON207" s="199"/>
      <c r="DOO207" s="199"/>
      <c r="DOP207" s="199"/>
      <c r="DOQ207" s="199"/>
      <c r="DOR207" s="199"/>
      <c r="DOS207" s="199"/>
      <c r="DOT207" s="199"/>
      <c r="DOU207" s="199"/>
      <c r="DOV207" s="199"/>
      <c r="DOW207" s="199"/>
      <c r="DOX207" s="199"/>
      <c r="DOY207" s="199"/>
      <c r="DOZ207" s="199"/>
      <c r="DPA207" s="199"/>
      <c r="DPB207" s="199"/>
      <c r="DPC207" s="199"/>
      <c r="DPD207" s="199"/>
      <c r="DPE207" s="199"/>
      <c r="DPF207" s="199"/>
      <c r="DPG207" s="199"/>
      <c r="DPH207" s="199"/>
      <c r="DPI207" s="199"/>
      <c r="DPJ207" s="199"/>
      <c r="DPK207" s="199"/>
      <c r="DPL207" s="199"/>
      <c r="DPM207" s="199"/>
      <c r="DPN207" s="199"/>
      <c r="DPO207" s="199"/>
      <c r="DPP207" s="199"/>
      <c r="DPQ207" s="199"/>
      <c r="DPR207" s="199"/>
      <c r="DPS207" s="199"/>
      <c r="DPT207" s="199"/>
      <c r="DPU207" s="199"/>
      <c r="DPV207" s="199"/>
      <c r="DPW207" s="199"/>
      <c r="DPX207" s="199"/>
      <c r="DPY207" s="199"/>
      <c r="DPZ207" s="199"/>
      <c r="DQA207" s="199"/>
      <c r="DQB207" s="199"/>
      <c r="DQC207" s="199"/>
      <c r="DQD207" s="199"/>
      <c r="DQE207" s="199"/>
      <c r="DQF207" s="199"/>
      <c r="DQG207" s="199"/>
      <c r="DQH207" s="199"/>
      <c r="DQI207" s="199"/>
      <c r="DQJ207" s="199"/>
      <c r="DQK207" s="199"/>
      <c r="DQL207" s="199"/>
      <c r="DQM207" s="199"/>
      <c r="DQN207" s="199"/>
      <c r="DQO207" s="199"/>
      <c r="DQP207" s="199"/>
      <c r="DQQ207" s="199"/>
      <c r="DQR207" s="199"/>
      <c r="DQS207" s="199"/>
      <c r="DQT207" s="199"/>
      <c r="DQU207" s="199"/>
      <c r="DQV207" s="199"/>
      <c r="DQW207" s="199"/>
      <c r="DQX207" s="199"/>
      <c r="DQY207" s="199"/>
      <c r="DQZ207" s="199"/>
      <c r="DRA207" s="199"/>
      <c r="DRB207" s="199"/>
      <c r="DRC207" s="199"/>
      <c r="DRD207" s="199"/>
      <c r="DRE207" s="199"/>
      <c r="DRF207" s="199"/>
      <c r="DRG207" s="199"/>
      <c r="DRH207" s="199"/>
      <c r="DRI207" s="199"/>
      <c r="DRJ207" s="199"/>
      <c r="DRK207" s="199"/>
      <c r="DRL207" s="199"/>
      <c r="DRM207" s="199"/>
      <c r="DRN207" s="199"/>
      <c r="DRO207" s="199"/>
      <c r="DRP207" s="199"/>
      <c r="DRQ207" s="199"/>
      <c r="DRR207" s="199"/>
      <c r="DRS207" s="199"/>
      <c r="DRT207" s="199"/>
      <c r="DRU207" s="199"/>
      <c r="DRV207" s="199"/>
      <c r="DRW207" s="199"/>
      <c r="DRX207" s="199"/>
      <c r="DRY207" s="199"/>
      <c r="DRZ207" s="199"/>
      <c r="DSA207" s="199"/>
      <c r="DSB207" s="199"/>
      <c r="DSC207" s="199"/>
      <c r="DSD207" s="199"/>
      <c r="DSE207" s="199"/>
      <c r="DSF207" s="199"/>
      <c r="DSG207" s="199"/>
      <c r="DSH207" s="199"/>
      <c r="DSI207" s="199"/>
      <c r="DSJ207" s="199"/>
      <c r="DSK207" s="199"/>
      <c r="DSL207" s="199"/>
      <c r="DSM207" s="199"/>
      <c r="DSN207" s="199"/>
      <c r="DSO207" s="199"/>
      <c r="DSP207" s="199"/>
      <c r="DSQ207" s="199"/>
      <c r="DSR207" s="199"/>
      <c r="DSS207" s="199"/>
      <c r="DST207" s="199"/>
      <c r="DSU207" s="199"/>
      <c r="DSV207" s="199"/>
      <c r="DSW207" s="199"/>
      <c r="DSX207" s="199"/>
      <c r="DSY207" s="199"/>
      <c r="DSZ207" s="199"/>
      <c r="DTA207" s="199"/>
      <c r="DTB207" s="199"/>
      <c r="DTC207" s="199"/>
      <c r="DTD207" s="199"/>
      <c r="DTE207" s="199"/>
      <c r="DTF207" s="199"/>
      <c r="DTG207" s="199"/>
      <c r="DTH207" s="199"/>
      <c r="DTI207" s="199"/>
      <c r="DTJ207" s="199"/>
      <c r="DTK207" s="199"/>
      <c r="DTL207" s="199"/>
      <c r="DTM207" s="199"/>
      <c r="DTN207" s="199"/>
      <c r="DTO207" s="199"/>
      <c r="DTP207" s="199"/>
      <c r="DTQ207" s="199"/>
      <c r="DTR207" s="199"/>
      <c r="DTS207" s="199"/>
      <c r="DTT207" s="199"/>
      <c r="DTU207" s="199"/>
      <c r="DTV207" s="199"/>
      <c r="DTW207" s="199"/>
      <c r="DTX207" s="199"/>
      <c r="DTY207" s="199"/>
      <c r="DTZ207" s="199"/>
      <c r="DUA207" s="199"/>
      <c r="DUB207" s="199"/>
      <c r="DUC207" s="199"/>
      <c r="DUD207" s="199"/>
      <c r="DUE207" s="199"/>
      <c r="DUF207" s="199"/>
      <c r="DUG207" s="199"/>
      <c r="DUH207" s="199"/>
      <c r="DUI207" s="199"/>
      <c r="DUJ207" s="199"/>
      <c r="DUK207" s="199"/>
      <c r="DUL207" s="199"/>
      <c r="DUM207" s="199"/>
      <c r="DUN207" s="199"/>
      <c r="DUO207" s="199"/>
      <c r="DUP207" s="199"/>
      <c r="DUQ207" s="199"/>
      <c r="DUR207" s="199"/>
      <c r="DUS207" s="199"/>
      <c r="DUT207" s="199"/>
      <c r="DUU207" s="199"/>
      <c r="DUV207" s="199"/>
      <c r="DUW207" s="199"/>
      <c r="DUX207" s="199"/>
      <c r="DUY207" s="199"/>
      <c r="DUZ207" s="199"/>
      <c r="DVA207" s="199"/>
      <c r="DVB207" s="199"/>
      <c r="DVC207" s="199"/>
      <c r="DVD207" s="199"/>
      <c r="DVE207" s="199"/>
      <c r="DVF207" s="199"/>
      <c r="DVG207" s="199"/>
      <c r="DVH207" s="199"/>
      <c r="DVI207" s="199"/>
      <c r="DVJ207" s="199"/>
      <c r="DVK207" s="199"/>
      <c r="DVL207" s="199"/>
      <c r="DVM207" s="199"/>
      <c r="DVN207" s="199"/>
      <c r="DVO207" s="199"/>
      <c r="DVP207" s="199"/>
      <c r="DVQ207" s="199"/>
      <c r="DVR207" s="199"/>
      <c r="DVS207" s="199"/>
      <c r="DVT207" s="199"/>
      <c r="DVU207" s="199"/>
      <c r="DVV207" s="199"/>
      <c r="DVW207" s="199"/>
      <c r="DVX207" s="199"/>
      <c r="DVY207" s="199"/>
      <c r="DVZ207" s="199"/>
      <c r="DWA207" s="199"/>
      <c r="DWB207" s="199"/>
      <c r="DWC207" s="199"/>
      <c r="DWD207" s="199"/>
      <c r="DWE207" s="199"/>
      <c r="DWF207" s="199"/>
      <c r="DWG207" s="199"/>
      <c r="DWH207" s="199"/>
      <c r="DWI207" s="199"/>
      <c r="DWJ207" s="199"/>
      <c r="DWK207" s="199"/>
      <c r="DWL207" s="199"/>
      <c r="DWM207" s="199"/>
      <c r="DWN207" s="199"/>
      <c r="DWO207" s="199"/>
      <c r="DWP207" s="199"/>
      <c r="DWQ207" s="199"/>
      <c r="DWR207" s="199"/>
      <c r="DWS207" s="199"/>
      <c r="DWT207" s="199"/>
      <c r="DWU207" s="199"/>
      <c r="DWV207" s="199"/>
      <c r="DWW207" s="199"/>
      <c r="DWX207" s="199"/>
      <c r="DWY207" s="199"/>
      <c r="DWZ207" s="199"/>
      <c r="DXA207" s="199"/>
      <c r="DXB207" s="199"/>
      <c r="DXC207" s="199"/>
      <c r="DXD207" s="199"/>
      <c r="DXE207" s="199"/>
      <c r="DXF207" s="199"/>
      <c r="DXG207" s="199"/>
      <c r="DXH207" s="199"/>
      <c r="DXI207" s="199"/>
      <c r="DXJ207" s="199"/>
      <c r="DXK207" s="199"/>
      <c r="DXL207" s="199"/>
      <c r="DXM207" s="199"/>
      <c r="DXN207" s="199"/>
      <c r="DXO207" s="199"/>
      <c r="DXP207" s="199"/>
      <c r="DXQ207" s="199"/>
      <c r="DXR207" s="199"/>
      <c r="DXS207" s="199"/>
      <c r="DXT207" s="199"/>
      <c r="DXU207" s="199"/>
      <c r="DXV207" s="199"/>
      <c r="DXW207" s="199"/>
      <c r="DXX207" s="199"/>
      <c r="DXY207" s="199"/>
      <c r="DXZ207" s="199"/>
      <c r="DYA207" s="199"/>
      <c r="DYB207" s="199"/>
      <c r="DYC207" s="199"/>
      <c r="DYD207" s="199"/>
      <c r="DYE207" s="199"/>
      <c r="DYF207" s="199"/>
      <c r="DYG207" s="199"/>
      <c r="DYH207" s="199"/>
      <c r="DYI207" s="199"/>
      <c r="DYJ207" s="199"/>
      <c r="DYK207" s="199"/>
      <c r="DYL207" s="199"/>
      <c r="DYM207" s="199"/>
      <c r="DYN207" s="199"/>
      <c r="DYO207" s="199"/>
      <c r="DYP207" s="199"/>
      <c r="DYQ207" s="199"/>
      <c r="DYR207" s="199"/>
      <c r="DYS207" s="199"/>
      <c r="DYT207" s="199"/>
      <c r="DYU207" s="199"/>
      <c r="DYV207" s="199"/>
      <c r="DYW207" s="199"/>
      <c r="DYX207" s="199"/>
      <c r="DYY207" s="199"/>
      <c r="DYZ207" s="199"/>
      <c r="DZA207" s="199"/>
      <c r="DZB207" s="199"/>
      <c r="DZC207" s="199"/>
      <c r="DZD207" s="199"/>
      <c r="DZE207" s="199"/>
      <c r="DZF207" s="199"/>
      <c r="DZG207" s="199"/>
      <c r="DZH207" s="199"/>
      <c r="DZI207" s="199"/>
      <c r="DZJ207" s="199"/>
      <c r="DZK207" s="199"/>
      <c r="DZL207" s="199"/>
      <c r="DZM207" s="199"/>
      <c r="DZN207" s="199"/>
      <c r="DZO207" s="199"/>
      <c r="DZP207" s="199"/>
      <c r="DZQ207" s="199"/>
      <c r="DZR207" s="199"/>
      <c r="DZS207" s="199"/>
      <c r="DZT207" s="199"/>
      <c r="DZU207" s="199"/>
      <c r="DZV207" s="199"/>
      <c r="DZW207" s="199"/>
      <c r="DZX207" s="199"/>
      <c r="DZY207" s="199"/>
      <c r="DZZ207" s="199"/>
      <c r="EAA207" s="199"/>
      <c r="EAB207" s="199"/>
      <c r="EAC207" s="199"/>
      <c r="EAD207" s="199"/>
      <c r="EAE207" s="199"/>
      <c r="EAF207" s="199"/>
      <c r="EAG207" s="199"/>
      <c r="EAH207" s="199"/>
      <c r="EAI207" s="199"/>
      <c r="EAJ207" s="199"/>
      <c r="EAK207" s="199"/>
      <c r="EAL207" s="199"/>
      <c r="EAM207" s="199"/>
      <c r="EAN207" s="199"/>
      <c r="EAO207" s="199"/>
      <c r="EAP207" s="199"/>
      <c r="EAQ207" s="199"/>
      <c r="EAR207" s="199"/>
      <c r="EAS207" s="199"/>
      <c r="EAT207" s="199"/>
      <c r="EAU207" s="199"/>
      <c r="EAV207" s="199"/>
      <c r="EAW207" s="199"/>
      <c r="EAX207" s="199"/>
      <c r="EAY207" s="199"/>
      <c r="EAZ207" s="199"/>
      <c r="EBA207" s="199"/>
      <c r="EBB207" s="199"/>
      <c r="EBC207" s="199"/>
      <c r="EBD207" s="199"/>
      <c r="EBE207" s="199"/>
      <c r="EBF207" s="199"/>
      <c r="EBG207" s="199"/>
      <c r="EBH207" s="199"/>
      <c r="EBI207" s="199"/>
      <c r="EBJ207" s="199"/>
      <c r="EBK207" s="199"/>
      <c r="EBL207" s="199"/>
      <c r="EBM207" s="199"/>
      <c r="EBN207" s="199"/>
      <c r="EBO207" s="199"/>
      <c r="EBP207" s="199"/>
      <c r="EBQ207" s="199"/>
      <c r="EBR207" s="199"/>
      <c r="EBS207" s="199"/>
      <c r="EBT207" s="199"/>
      <c r="EBU207" s="199"/>
      <c r="EBV207" s="199"/>
      <c r="EBW207" s="199"/>
      <c r="EBX207" s="199"/>
      <c r="EBY207" s="199"/>
      <c r="EBZ207" s="199"/>
      <c r="ECA207" s="199"/>
      <c r="ECB207" s="199"/>
      <c r="ECC207" s="199"/>
      <c r="ECD207" s="199"/>
      <c r="ECE207" s="199"/>
      <c r="ECF207" s="199"/>
      <c r="ECG207" s="199"/>
      <c r="ECH207" s="199"/>
      <c r="ECI207" s="199"/>
      <c r="ECJ207" s="199"/>
      <c r="ECK207" s="199"/>
      <c r="ECL207" s="199"/>
      <c r="ECM207" s="199"/>
      <c r="ECN207" s="199"/>
      <c r="ECO207" s="199"/>
      <c r="ECP207" s="199"/>
      <c r="ECQ207" s="199"/>
      <c r="ECR207" s="199"/>
      <c r="ECS207" s="199"/>
      <c r="ECT207" s="199"/>
      <c r="ECU207" s="199"/>
      <c r="ECV207" s="199"/>
      <c r="ECW207" s="199"/>
      <c r="ECX207" s="199"/>
      <c r="ECY207" s="199"/>
      <c r="ECZ207" s="199"/>
      <c r="EDA207" s="199"/>
      <c r="EDB207" s="199"/>
      <c r="EDC207" s="199"/>
      <c r="EDD207" s="199"/>
      <c r="EDE207" s="199"/>
      <c r="EDF207" s="199"/>
      <c r="EDG207" s="199"/>
      <c r="EDH207" s="199"/>
      <c r="EDI207" s="199"/>
      <c r="EDJ207" s="199"/>
      <c r="EDK207" s="199"/>
      <c r="EDL207" s="199"/>
      <c r="EDM207" s="199"/>
      <c r="EDN207" s="199"/>
      <c r="EDO207" s="199"/>
      <c r="EDP207" s="199"/>
      <c r="EDQ207" s="199"/>
      <c r="EDR207" s="199"/>
      <c r="EDS207" s="199"/>
      <c r="EDT207" s="199"/>
      <c r="EDU207" s="199"/>
      <c r="EDV207" s="199"/>
      <c r="EDW207" s="199"/>
      <c r="EDX207" s="199"/>
      <c r="EDY207" s="199"/>
      <c r="EDZ207" s="199"/>
      <c r="EEA207" s="199"/>
      <c r="EEB207" s="199"/>
      <c r="EEC207" s="199"/>
      <c r="EED207" s="199"/>
      <c r="EEE207" s="199"/>
      <c r="EEF207" s="199"/>
      <c r="EEG207" s="199"/>
      <c r="EEH207" s="199"/>
      <c r="EEI207" s="199"/>
      <c r="EEJ207" s="199"/>
      <c r="EEK207" s="199"/>
      <c r="EEL207" s="199"/>
      <c r="EEM207" s="199"/>
      <c r="EEN207" s="199"/>
      <c r="EEO207" s="199"/>
      <c r="EEP207" s="199"/>
      <c r="EEQ207" s="199"/>
      <c r="EER207" s="199"/>
      <c r="EES207" s="199"/>
      <c r="EET207" s="199"/>
      <c r="EEU207" s="199"/>
      <c r="EEV207" s="199"/>
      <c r="EEW207" s="199"/>
      <c r="EEX207" s="199"/>
      <c r="EEY207" s="199"/>
      <c r="EEZ207" s="199"/>
      <c r="EFA207" s="199"/>
      <c r="EFB207" s="199"/>
      <c r="EFC207" s="199"/>
      <c r="EFD207" s="199"/>
      <c r="EFE207" s="199"/>
      <c r="EFF207" s="199"/>
      <c r="EFG207" s="199"/>
      <c r="EFH207" s="199"/>
      <c r="EFI207" s="199"/>
      <c r="EFJ207" s="199"/>
      <c r="EFK207" s="199"/>
      <c r="EFL207" s="199"/>
      <c r="EFM207" s="199"/>
      <c r="EFN207" s="199"/>
      <c r="EFO207" s="199"/>
      <c r="EFP207" s="199"/>
      <c r="EFQ207" s="199"/>
      <c r="EFR207" s="199"/>
      <c r="EFS207" s="199"/>
      <c r="EFT207" s="199"/>
      <c r="EFU207" s="199"/>
      <c r="EFV207" s="199"/>
      <c r="EFW207" s="199"/>
      <c r="EFX207" s="199"/>
      <c r="EFY207" s="199"/>
      <c r="EFZ207" s="199"/>
      <c r="EGA207" s="199"/>
      <c r="EGB207" s="199"/>
      <c r="EGC207" s="199"/>
      <c r="EGD207" s="199"/>
      <c r="EGE207" s="199"/>
      <c r="EGF207" s="199"/>
      <c r="EGG207" s="199"/>
      <c r="EGH207" s="199"/>
      <c r="EGI207" s="199"/>
      <c r="EGJ207" s="199"/>
      <c r="EGK207" s="199"/>
      <c r="EGL207" s="199"/>
      <c r="EGM207" s="199"/>
      <c r="EGN207" s="199"/>
      <c r="EGO207" s="199"/>
      <c r="EGP207" s="199"/>
      <c r="EGQ207" s="199"/>
      <c r="EGR207" s="199"/>
      <c r="EGS207" s="199"/>
      <c r="EGT207" s="199"/>
      <c r="EGU207" s="199"/>
      <c r="EGV207" s="199"/>
      <c r="EGW207" s="199"/>
      <c r="EGX207" s="199"/>
      <c r="EGY207" s="199"/>
      <c r="EGZ207" s="199"/>
      <c r="EHA207" s="199"/>
      <c r="EHB207" s="199"/>
      <c r="EHC207" s="199"/>
      <c r="EHD207" s="199"/>
      <c r="EHE207" s="199"/>
      <c r="EHF207" s="199"/>
      <c r="EHG207" s="199"/>
      <c r="EHH207" s="199"/>
      <c r="EHI207" s="199"/>
      <c r="EHJ207" s="199"/>
      <c r="EHK207" s="199"/>
      <c r="EHL207" s="199"/>
      <c r="EHM207" s="199"/>
      <c r="EHN207" s="199"/>
      <c r="EHO207" s="199"/>
      <c r="EHP207" s="199"/>
      <c r="EHQ207" s="199"/>
      <c r="EHR207" s="199"/>
      <c r="EHS207" s="199"/>
      <c r="EHT207" s="199"/>
      <c r="EHU207" s="199"/>
      <c r="EHV207" s="199"/>
      <c r="EHW207" s="199"/>
      <c r="EHX207" s="199"/>
      <c r="EHY207" s="199"/>
      <c r="EHZ207" s="199"/>
      <c r="EIA207" s="199"/>
      <c r="EIB207" s="199"/>
      <c r="EIC207" s="199"/>
      <c r="EID207" s="199"/>
      <c r="EIE207" s="199"/>
      <c r="EIF207" s="199"/>
      <c r="EIG207" s="199"/>
      <c r="EIH207" s="199"/>
      <c r="EII207" s="199"/>
      <c r="EIJ207" s="199"/>
      <c r="EIK207" s="199"/>
      <c r="EIL207" s="199"/>
      <c r="EIM207" s="199"/>
      <c r="EIN207" s="199"/>
      <c r="EIO207" s="199"/>
      <c r="EIP207" s="199"/>
      <c r="EIQ207" s="199"/>
      <c r="EIR207" s="199"/>
      <c r="EIS207" s="199"/>
      <c r="EIT207" s="199"/>
      <c r="EIU207" s="199"/>
      <c r="EIV207" s="199"/>
      <c r="EIW207" s="199"/>
      <c r="EIX207" s="199"/>
      <c r="EIY207" s="199"/>
      <c r="EIZ207" s="199"/>
      <c r="EJA207" s="199"/>
      <c r="EJB207" s="199"/>
      <c r="EJC207" s="199"/>
      <c r="EJD207" s="199"/>
      <c r="EJE207" s="199"/>
      <c r="EJF207" s="199"/>
      <c r="EJG207" s="199"/>
      <c r="EJH207" s="199"/>
      <c r="EJI207" s="199"/>
      <c r="EJJ207" s="199"/>
      <c r="EJK207" s="199"/>
      <c r="EJL207" s="199"/>
      <c r="EJM207" s="199"/>
      <c r="EJN207" s="199"/>
      <c r="EJO207" s="199"/>
      <c r="EJP207" s="199"/>
      <c r="EJQ207" s="199"/>
      <c r="EJR207" s="199"/>
      <c r="EJS207" s="199"/>
      <c r="EJT207" s="199"/>
      <c r="EJU207" s="199"/>
      <c r="EJV207" s="199"/>
      <c r="EJW207" s="199"/>
      <c r="EJX207" s="199"/>
      <c r="EJY207" s="199"/>
      <c r="EJZ207" s="199"/>
      <c r="EKA207" s="199"/>
      <c r="EKB207" s="199"/>
      <c r="EKC207" s="199"/>
      <c r="EKD207" s="199"/>
      <c r="EKE207" s="199"/>
      <c r="EKF207" s="199"/>
      <c r="EKG207" s="199"/>
      <c r="EKH207" s="199"/>
      <c r="EKI207" s="199"/>
      <c r="EKJ207" s="199"/>
      <c r="EKK207" s="199"/>
      <c r="EKL207" s="199"/>
      <c r="EKM207" s="199"/>
      <c r="EKN207" s="199"/>
      <c r="EKO207" s="199"/>
      <c r="EKP207" s="199"/>
      <c r="EKQ207" s="199"/>
      <c r="EKR207" s="199"/>
      <c r="EKS207" s="199"/>
      <c r="EKT207" s="199"/>
      <c r="EKU207" s="199"/>
      <c r="EKV207" s="199"/>
      <c r="EKW207" s="199"/>
      <c r="EKX207" s="199"/>
      <c r="EKY207" s="199"/>
      <c r="EKZ207" s="199"/>
      <c r="ELA207" s="199"/>
      <c r="ELB207" s="199"/>
      <c r="ELC207" s="199"/>
      <c r="ELD207" s="199"/>
      <c r="ELE207" s="199"/>
      <c r="ELF207" s="199"/>
      <c r="ELG207" s="199"/>
      <c r="ELH207" s="199"/>
      <c r="ELI207" s="199"/>
      <c r="ELJ207" s="199"/>
      <c r="ELK207" s="199"/>
      <c r="ELL207" s="199"/>
      <c r="ELM207" s="199"/>
      <c r="ELN207" s="199"/>
      <c r="ELO207" s="199"/>
      <c r="ELP207" s="199"/>
      <c r="ELQ207" s="199"/>
      <c r="ELR207" s="199"/>
      <c r="ELS207" s="199"/>
      <c r="ELT207" s="199"/>
      <c r="ELU207" s="199"/>
      <c r="ELV207" s="199"/>
      <c r="ELW207" s="199"/>
      <c r="ELX207" s="199"/>
      <c r="ELY207" s="199"/>
      <c r="ELZ207" s="199"/>
      <c r="EMA207" s="199"/>
      <c r="EMB207" s="199"/>
      <c r="EMC207" s="199"/>
      <c r="EMD207" s="199"/>
      <c r="EME207" s="199"/>
      <c r="EMF207" s="199"/>
      <c r="EMG207" s="199"/>
      <c r="EMH207" s="199"/>
      <c r="EMI207" s="199"/>
      <c r="EMJ207" s="199"/>
      <c r="EMK207" s="199"/>
      <c r="EML207" s="199"/>
      <c r="EMM207" s="199"/>
      <c r="EMN207" s="199"/>
      <c r="EMO207" s="199"/>
      <c r="EMP207" s="199"/>
      <c r="EMQ207" s="199"/>
      <c r="EMR207" s="199"/>
      <c r="EMS207" s="199"/>
      <c r="EMT207" s="199"/>
      <c r="EMU207" s="199"/>
      <c r="EMV207" s="199"/>
      <c r="EMW207" s="199"/>
      <c r="EMX207" s="199"/>
      <c r="EMY207" s="199"/>
      <c r="EMZ207" s="199"/>
      <c r="ENA207" s="199"/>
      <c r="ENB207" s="199"/>
      <c r="ENC207" s="199"/>
      <c r="END207" s="199"/>
      <c r="ENE207" s="199"/>
      <c r="ENF207" s="199"/>
      <c r="ENG207" s="199"/>
      <c r="ENH207" s="199"/>
      <c r="ENI207" s="199"/>
      <c r="ENJ207" s="199"/>
      <c r="ENK207" s="199"/>
      <c r="ENL207" s="199"/>
      <c r="ENM207" s="199"/>
      <c r="ENN207" s="199"/>
      <c r="ENO207" s="199"/>
      <c r="ENP207" s="199"/>
      <c r="ENQ207" s="199"/>
      <c r="ENR207" s="199"/>
      <c r="ENS207" s="199"/>
      <c r="ENT207" s="199"/>
      <c r="ENU207" s="199"/>
      <c r="ENV207" s="199"/>
      <c r="ENW207" s="199"/>
      <c r="ENX207" s="199"/>
      <c r="ENY207" s="199"/>
      <c r="ENZ207" s="199"/>
      <c r="EOA207" s="199"/>
      <c r="EOB207" s="199"/>
      <c r="EOC207" s="199"/>
      <c r="EOD207" s="199"/>
      <c r="EOE207" s="199"/>
      <c r="EOF207" s="199"/>
      <c r="EOG207" s="199"/>
      <c r="EOH207" s="199"/>
      <c r="EOI207" s="199"/>
      <c r="EOJ207" s="199"/>
      <c r="EOK207" s="199"/>
      <c r="EOL207" s="199"/>
      <c r="EOM207" s="199"/>
      <c r="EON207" s="199"/>
      <c r="EOO207" s="199"/>
      <c r="EOP207" s="199"/>
      <c r="EOQ207" s="199"/>
      <c r="EOR207" s="199"/>
      <c r="EOS207" s="199"/>
      <c r="EOT207" s="199"/>
      <c r="EOU207" s="199"/>
      <c r="EOV207" s="199"/>
      <c r="EOW207" s="199"/>
      <c r="EOX207" s="199"/>
      <c r="EOY207" s="199"/>
      <c r="EOZ207" s="199"/>
      <c r="EPA207" s="199"/>
      <c r="EPB207" s="199"/>
      <c r="EPC207" s="199"/>
      <c r="EPD207" s="199"/>
      <c r="EPE207" s="199"/>
      <c r="EPF207" s="199"/>
      <c r="EPG207" s="199"/>
      <c r="EPH207" s="199"/>
      <c r="EPI207" s="199"/>
      <c r="EPJ207" s="199"/>
      <c r="EPK207" s="199"/>
      <c r="EPL207" s="199"/>
      <c r="EPM207" s="199"/>
      <c r="EPN207" s="199"/>
      <c r="EPO207" s="199"/>
      <c r="EPP207" s="199"/>
      <c r="EPQ207" s="199"/>
      <c r="EPR207" s="199"/>
      <c r="EPS207" s="199"/>
      <c r="EPT207" s="199"/>
      <c r="EPU207" s="199"/>
      <c r="EPV207" s="199"/>
      <c r="EPW207" s="199"/>
      <c r="EPX207" s="199"/>
      <c r="EPY207" s="199"/>
      <c r="EPZ207" s="199"/>
      <c r="EQA207" s="199"/>
      <c r="EQB207" s="199"/>
      <c r="EQC207" s="199"/>
      <c r="EQD207" s="199"/>
      <c r="EQE207" s="199"/>
      <c r="EQF207" s="199"/>
      <c r="EQG207" s="199"/>
      <c r="EQH207" s="199"/>
      <c r="EQI207" s="199"/>
      <c r="EQJ207" s="199"/>
      <c r="EQK207" s="199"/>
      <c r="EQL207" s="199"/>
      <c r="EQM207" s="199"/>
      <c r="EQN207" s="199"/>
      <c r="EQO207" s="199"/>
      <c r="EQP207" s="199"/>
      <c r="EQQ207" s="199"/>
      <c r="EQR207" s="199"/>
      <c r="EQS207" s="199"/>
      <c r="EQT207" s="199"/>
      <c r="EQU207" s="199"/>
      <c r="EQV207" s="199"/>
      <c r="EQW207" s="199"/>
      <c r="EQX207" s="199"/>
      <c r="EQY207" s="199"/>
      <c r="EQZ207" s="199"/>
      <c r="ERA207" s="199"/>
      <c r="ERB207" s="199"/>
      <c r="ERC207" s="199"/>
      <c r="ERD207" s="199"/>
      <c r="ERE207" s="199"/>
      <c r="ERF207" s="199"/>
      <c r="ERG207" s="199"/>
      <c r="ERH207" s="199"/>
      <c r="ERI207" s="199"/>
      <c r="ERJ207" s="199"/>
      <c r="ERK207" s="199"/>
      <c r="ERL207" s="199"/>
      <c r="ERM207" s="199"/>
      <c r="ERN207" s="199"/>
      <c r="ERO207" s="199"/>
      <c r="ERP207" s="199"/>
      <c r="ERQ207" s="199"/>
      <c r="ERR207" s="199"/>
      <c r="ERS207" s="199"/>
      <c r="ERT207" s="199"/>
      <c r="ERU207" s="199"/>
      <c r="ERV207" s="199"/>
      <c r="ERW207" s="199"/>
      <c r="ERX207" s="199"/>
      <c r="ERY207" s="199"/>
      <c r="ERZ207" s="199"/>
      <c r="ESA207" s="199"/>
      <c r="ESB207" s="199"/>
      <c r="ESC207" s="199"/>
      <c r="ESD207" s="199"/>
      <c r="ESE207" s="199"/>
      <c r="ESF207" s="199"/>
      <c r="ESG207" s="199"/>
      <c r="ESH207" s="199"/>
      <c r="ESI207" s="199"/>
      <c r="ESJ207" s="199"/>
      <c r="ESK207" s="199"/>
      <c r="ESL207" s="199"/>
      <c r="ESM207" s="199"/>
      <c r="ESN207" s="199"/>
      <c r="ESO207" s="199"/>
      <c r="ESP207" s="199"/>
      <c r="ESQ207" s="199"/>
      <c r="ESR207" s="199"/>
      <c r="ESS207" s="199"/>
      <c r="EST207" s="199"/>
      <c r="ESU207" s="199"/>
      <c r="ESV207" s="199"/>
      <c r="ESW207" s="199"/>
      <c r="ESX207" s="199"/>
      <c r="ESY207" s="199"/>
      <c r="ESZ207" s="199"/>
      <c r="ETA207" s="199"/>
      <c r="ETB207" s="199"/>
      <c r="ETC207" s="199"/>
      <c r="ETD207" s="199"/>
      <c r="ETE207" s="199"/>
      <c r="ETF207" s="199"/>
      <c r="ETG207" s="199"/>
      <c r="ETH207" s="199"/>
      <c r="ETI207" s="199"/>
      <c r="ETJ207" s="199"/>
      <c r="ETK207" s="199"/>
      <c r="ETL207" s="199"/>
      <c r="ETM207" s="199"/>
      <c r="ETN207" s="199"/>
      <c r="ETO207" s="199"/>
      <c r="ETP207" s="199"/>
      <c r="ETQ207" s="199"/>
      <c r="ETR207" s="199"/>
      <c r="ETS207" s="199"/>
      <c r="ETT207" s="199"/>
      <c r="ETU207" s="199"/>
      <c r="ETV207" s="199"/>
      <c r="ETW207" s="199"/>
      <c r="ETX207" s="199"/>
      <c r="ETY207" s="199"/>
      <c r="ETZ207" s="199"/>
      <c r="EUA207" s="199"/>
      <c r="EUB207" s="199"/>
      <c r="EUC207" s="199"/>
      <c r="EUD207" s="199"/>
      <c r="EUE207" s="199"/>
      <c r="EUF207" s="199"/>
      <c r="EUG207" s="199"/>
      <c r="EUH207" s="199"/>
      <c r="EUI207" s="199"/>
      <c r="EUJ207" s="199"/>
      <c r="EUK207" s="199"/>
      <c r="EUL207" s="199"/>
      <c r="EUM207" s="199"/>
      <c r="EUN207" s="199"/>
      <c r="EUO207" s="199"/>
      <c r="EUP207" s="199"/>
      <c r="EUQ207" s="199"/>
      <c r="EUR207" s="199"/>
      <c r="EUS207" s="199"/>
      <c r="EUT207" s="199"/>
      <c r="EUU207" s="199"/>
      <c r="EUV207" s="199"/>
      <c r="EUW207" s="199"/>
      <c r="EUX207" s="199"/>
      <c r="EUY207" s="199"/>
      <c r="EUZ207" s="199"/>
      <c r="EVA207" s="199"/>
      <c r="EVB207" s="199"/>
      <c r="EVC207" s="199"/>
      <c r="EVD207" s="199"/>
      <c r="EVE207" s="199"/>
      <c r="EVF207" s="199"/>
      <c r="EVG207" s="199"/>
      <c r="EVH207" s="199"/>
      <c r="EVI207" s="199"/>
      <c r="EVJ207" s="199"/>
      <c r="EVK207" s="199"/>
      <c r="EVL207" s="199"/>
      <c r="EVM207" s="199"/>
      <c r="EVN207" s="199"/>
      <c r="EVO207" s="199"/>
      <c r="EVP207" s="199"/>
      <c r="EVQ207" s="199"/>
      <c r="EVR207" s="199"/>
      <c r="EVS207" s="199"/>
      <c r="EVT207" s="199"/>
      <c r="EVU207" s="199"/>
      <c r="EVV207" s="199"/>
      <c r="EVW207" s="199"/>
      <c r="EVX207" s="199"/>
      <c r="EVY207" s="199"/>
      <c r="EVZ207" s="199"/>
      <c r="EWA207" s="199"/>
      <c r="EWB207" s="199"/>
      <c r="EWC207" s="199"/>
      <c r="EWD207" s="199"/>
      <c r="EWE207" s="199"/>
      <c r="EWF207" s="199"/>
      <c r="EWG207" s="199"/>
      <c r="EWH207" s="199"/>
      <c r="EWI207" s="199"/>
      <c r="EWJ207" s="199"/>
      <c r="EWK207" s="199"/>
      <c r="EWL207" s="199"/>
      <c r="EWM207" s="199"/>
      <c r="EWN207" s="199"/>
      <c r="EWO207" s="199"/>
      <c r="EWP207" s="199"/>
      <c r="EWQ207" s="199"/>
      <c r="EWR207" s="199"/>
      <c r="EWS207" s="199"/>
      <c r="EWT207" s="199"/>
      <c r="EWU207" s="199"/>
      <c r="EWV207" s="199"/>
      <c r="EWW207" s="199"/>
      <c r="EWX207" s="199"/>
      <c r="EWY207" s="199"/>
      <c r="EWZ207" s="199"/>
      <c r="EXA207" s="199"/>
      <c r="EXB207" s="199"/>
      <c r="EXC207" s="199"/>
      <c r="EXD207" s="199"/>
      <c r="EXE207" s="199"/>
      <c r="EXF207" s="199"/>
      <c r="EXG207" s="199"/>
      <c r="EXH207" s="199"/>
      <c r="EXI207" s="199"/>
      <c r="EXJ207" s="199"/>
      <c r="EXK207" s="199"/>
      <c r="EXL207" s="199"/>
      <c r="EXM207" s="199"/>
      <c r="EXN207" s="199"/>
      <c r="EXO207" s="199"/>
      <c r="EXP207" s="199"/>
      <c r="EXQ207" s="199"/>
      <c r="EXR207" s="199"/>
      <c r="EXS207" s="199"/>
      <c r="EXT207" s="199"/>
      <c r="EXU207" s="199"/>
      <c r="EXV207" s="199"/>
      <c r="EXW207" s="199"/>
      <c r="EXX207" s="199"/>
      <c r="EXY207" s="199"/>
      <c r="EXZ207" s="199"/>
      <c r="EYA207" s="199"/>
      <c r="EYB207" s="199"/>
      <c r="EYC207" s="199"/>
      <c r="EYD207" s="199"/>
      <c r="EYE207" s="199"/>
      <c r="EYF207" s="199"/>
      <c r="EYG207" s="199"/>
      <c r="EYH207" s="199"/>
      <c r="EYI207" s="199"/>
      <c r="EYJ207" s="199"/>
      <c r="EYK207" s="199"/>
      <c r="EYL207" s="199"/>
      <c r="EYM207" s="199"/>
      <c r="EYN207" s="199"/>
      <c r="EYO207" s="199"/>
      <c r="EYP207" s="199"/>
      <c r="EYQ207" s="199"/>
      <c r="EYR207" s="199"/>
      <c r="EYS207" s="199"/>
      <c r="EYT207" s="199"/>
      <c r="EYU207" s="199"/>
      <c r="EYV207" s="199"/>
      <c r="EYW207" s="199"/>
      <c r="EYX207" s="199"/>
      <c r="EYY207" s="199"/>
      <c r="EYZ207" s="199"/>
      <c r="EZA207" s="199"/>
      <c r="EZB207" s="199"/>
      <c r="EZC207" s="199"/>
      <c r="EZD207" s="199"/>
      <c r="EZE207" s="199"/>
      <c r="EZF207" s="199"/>
      <c r="EZG207" s="199"/>
      <c r="EZH207" s="199"/>
      <c r="EZI207" s="199"/>
      <c r="EZJ207" s="199"/>
      <c r="EZK207" s="199"/>
      <c r="EZL207" s="199"/>
      <c r="EZM207" s="199"/>
      <c r="EZN207" s="199"/>
      <c r="EZO207" s="199"/>
      <c r="EZP207" s="199"/>
      <c r="EZQ207" s="199"/>
      <c r="EZR207" s="199"/>
      <c r="EZS207" s="199"/>
      <c r="EZT207" s="199"/>
      <c r="EZU207" s="199"/>
      <c r="EZV207" s="199"/>
      <c r="EZW207" s="199"/>
      <c r="EZX207" s="199"/>
      <c r="EZY207" s="199"/>
      <c r="EZZ207" s="199"/>
      <c r="FAA207" s="199"/>
      <c r="FAB207" s="199"/>
      <c r="FAC207" s="199"/>
      <c r="FAD207" s="199"/>
      <c r="FAE207" s="199"/>
      <c r="FAF207" s="199"/>
      <c r="FAG207" s="199"/>
      <c r="FAH207" s="199"/>
      <c r="FAI207" s="199"/>
      <c r="FAJ207" s="199"/>
      <c r="FAK207" s="199"/>
      <c r="FAL207" s="199"/>
      <c r="FAM207" s="199"/>
      <c r="FAN207" s="199"/>
      <c r="FAO207" s="199"/>
      <c r="FAP207" s="199"/>
      <c r="FAQ207" s="199"/>
      <c r="FAR207" s="199"/>
      <c r="FAS207" s="199"/>
      <c r="FAT207" s="199"/>
      <c r="FAU207" s="199"/>
      <c r="FAV207" s="199"/>
      <c r="FAW207" s="199"/>
      <c r="FAX207" s="199"/>
      <c r="FAY207" s="199"/>
      <c r="FAZ207" s="199"/>
      <c r="FBA207" s="199"/>
      <c r="FBB207" s="199"/>
      <c r="FBC207" s="199"/>
      <c r="FBD207" s="199"/>
      <c r="FBE207" s="199"/>
      <c r="FBF207" s="199"/>
      <c r="FBG207" s="199"/>
      <c r="FBH207" s="199"/>
      <c r="FBI207" s="199"/>
      <c r="FBJ207" s="199"/>
      <c r="FBK207" s="199"/>
      <c r="FBL207" s="199"/>
      <c r="FBM207" s="199"/>
      <c r="FBN207" s="199"/>
      <c r="FBO207" s="199"/>
      <c r="FBP207" s="199"/>
      <c r="FBQ207" s="199"/>
      <c r="FBR207" s="199"/>
      <c r="FBS207" s="199"/>
      <c r="FBT207" s="199"/>
      <c r="FBU207" s="199"/>
      <c r="FBV207" s="199"/>
      <c r="FBW207" s="199"/>
      <c r="FBX207" s="199"/>
      <c r="FBY207" s="199"/>
      <c r="FBZ207" s="199"/>
      <c r="FCA207" s="199"/>
      <c r="FCB207" s="199"/>
      <c r="FCC207" s="199"/>
      <c r="FCD207" s="199"/>
      <c r="FCE207" s="199"/>
      <c r="FCF207" s="199"/>
      <c r="FCG207" s="199"/>
      <c r="FCH207" s="199"/>
      <c r="FCI207" s="199"/>
      <c r="FCJ207" s="199"/>
      <c r="FCK207" s="199"/>
      <c r="FCL207" s="199"/>
      <c r="FCM207" s="199"/>
      <c r="FCN207" s="199"/>
      <c r="FCO207" s="199"/>
      <c r="FCP207" s="199"/>
      <c r="FCQ207" s="199"/>
      <c r="FCR207" s="199"/>
      <c r="FCS207" s="199"/>
      <c r="FCT207" s="199"/>
      <c r="FCU207" s="199"/>
      <c r="FCV207" s="199"/>
      <c r="FCW207" s="199"/>
      <c r="FCX207" s="199"/>
      <c r="FCY207" s="199"/>
      <c r="FCZ207" s="199"/>
      <c r="FDA207" s="199"/>
      <c r="FDB207" s="199"/>
      <c r="FDC207" s="199"/>
      <c r="FDD207" s="199"/>
      <c r="FDE207" s="199"/>
      <c r="FDF207" s="199"/>
      <c r="FDG207" s="199"/>
      <c r="FDH207" s="199"/>
      <c r="FDI207" s="199"/>
      <c r="FDJ207" s="199"/>
      <c r="FDK207" s="199"/>
      <c r="FDL207" s="199"/>
      <c r="FDM207" s="199"/>
      <c r="FDN207" s="199"/>
      <c r="FDO207" s="199"/>
      <c r="FDP207" s="199"/>
      <c r="FDQ207" s="199"/>
      <c r="FDR207" s="199"/>
      <c r="FDS207" s="199"/>
      <c r="FDT207" s="199"/>
      <c r="FDU207" s="199"/>
      <c r="FDV207" s="199"/>
      <c r="FDW207" s="199"/>
      <c r="FDX207" s="199"/>
      <c r="FDY207" s="199"/>
      <c r="FDZ207" s="199"/>
      <c r="FEA207" s="199"/>
      <c r="FEB207" s="199"/>
      <c r="FEC207" s="199"/>
      <c r="FED207" s="199"/>
      <c r="FEE207" s="199"/>
      <c r="FEF207" s="199"/>
      <c r="FEG207" s="199"/>
      <c r="FEH207" s="199"/>
      <c r="FEI207" s="199"/>
      <c r="FEJ207" s="199"/>
      <c r="FEK207" s="199"/>
      <c r="FEL207" s="199"/>
      <c r="FEM207" s="199"/>
      <c r="FEN207" s="199"/>
      <c r="FEO207" s="199"/>
      <c r="FEP207" s="199"/>
      <c r="FEQ207" s="199"/>
      <c r="FER207" s="199"/>
      <c r="FES207" s="199"/>
      <c r="FET207" s="199"/>
      <c r="FEU207" s="199"/>
      <c r="FEV207" s="199"/>
      <c r="FEW207" s="199"/>
      <c r="FEX207" s="199"/>
      <c r="FEY207" s="199"/>
      <c r="FEZ207" s="199"/>
      <c r="FFA207" s="199"/>
      <c r="FFB207" s="199"/>
      <c r="FFC207" s="199"/>
      <c r="FFD207" s="199"/>
      <c r="FFE207" s="199"/>
      <c r="FFF207" s="199"/>
      <c r="FFG207" s="199"/>
      <c r="FFH207" s="199"/>
      <c r="FFI207" s="199"/>
      <c r="FFJ207" s="199"/>
      <c r="FFK207" s="199"/>
      <c r="FFL207" s="199"/>
      <c r="FFM207" s="199"/>
      <c r="FFN207" s="199"/>
      <c r="FFO207" s="199"/>
      <c r="FFP207" s="199"/>
      <c r="FFQ207" s="199"/>
      <c r="FFR207" s="199"/>
      <c r="FFS207" s="199"/>
      <c r="FFT207" s="199"/>
      <c r="FFU207" s="199"/>
      <c r="FFV207" s="199"/>
      <c r="FFW207" s="199"/>
      <c r="FFX207" s="199"/>
      <c r="FFY207" s="199"/>
      <c r="FFZ207" s="199"/>
      <c r="FGA207" s="199"/>
      <c r="FGB207" s="199"/>
      <c r="FGC207" s="199"/>
      <c r="FGD207" s="199"/>
      <c r="FGE207" s="199"/>
      <c r="FGF207" s="199"/>
      <c r="FGG207" s="199"/>
      <c r="FGH207" s="199"/>
      <c r="FGI207" s="199"/>
      <c r="FGJ207" s="199"/>
      <c r="FGK207" s="199"/>
      <c r="FGL207" s="199"/>
      <c r="FGM207" s="199"/>
      <c r="FGN207" s="199"/>
      <c r="FGO207" s="199"/>
      <c r="FGP207" s="199"/>
      <c r="FGQ207" s="199"/>
      <c r="FGR207" s="199"/>
      <c r="FGS207" s="199"/>
      <c r="FGT207" s="199"/>
      <c r="FGU207" s="199"/>
      <c r="FGV207" s="199"/>
      <c r="FGW207" s="199"/>
      <c r="FGX207" s="199"/>
      <c r="FGY207" s="199"/>
      <c r="FGZ207" s="199"/>
      <c r="FHA207" s="199"/>
      <c r="FHB207" s="199"/>
      <c r="FHC207" s="199"/>
      <c r="FHD207" s="199"/>
      <c r="FHE207" s="199"/>
      <c r="FHF207" s="199"/>
      <c r="FHG207" s="199"/>
      <c r="FHH207" s="199"/>
      <c r="FHI207" s="199"/>
      <c r="FHJ207" s="199"/>
      <c r="FHK207" s="199"/>
      <c r="FHL207" s="199"/>
      <c r="FHM207" s="199"/>
      <c r="FHN207" s="199"/>
      <c r="FHO207" s="199"/>
      <c r="FHP207" s="199"/>
      <c r="FHQ207" s="199"/>
      <c r="FHR207" s="199"/>
      <c r="FHS207" s="199"/>
      <c r="FHT207" s="199"/>
      <c r="FHU207" s="199"/>
      <c r="FHV207" s="199"/>
      <c r="FHW207" s="199"/>
      <c r="FHX207" s="199"/>
      <c r="FHY207" s="199"/>
      <c r="FHZ207" s="199"/>
      <c r="FIA207" s="199"/>
      <c r="FIB207" s="199"/>
      <c r="FIC207" s="199"/>
      <c r="FID207" s="199"/>
      <c r="FIE207" s="199"/>
      <c r="FIF207" s="199"/>
      <c r="FIG207" s="199"/>
      <c r="FIH207" s="199"/>
      <c r="FII207" s="199"/>
      <c r="FIJ207" s="199"/>
      <c r="FIK207" s="199"/>
      <c r="FIL207" s="199"/>
      <c r="FIM207" s="199"/>
      <c r="FIN207" s="199"/>
      <c r="FIO207" s="199"/>
      <c r="FIP207" s="199"/>
      <c r="FIQ207" s="199"/>
      <c r="FIR207" s="199"/>
      <c r="FIS207" s="199"/>
      <c r="FIT207" s="199"/>
      <c r="FIU207" s="199"/>
      <c r="FIV207" s="199"/>
      <c r="FIW207" s="199"/>
      <c r="FIX207" s="199"/>
      <c r="FIY207" s="199"/>
      <c r="FIZ207" s="199"/>
      <c r="FJA207" s="199"/>
      <c r="FJB207" s="199"/>
      <c r="FJC207" s="199"/>
      <c r="FJD207" s="199"/>
      <c r="FJE207" s="199"/>
      <c r="FJF207" s="199"/>
      <c r="FJG207" s="199"/>
      <c r="FJH207" s="199"/>
      <c r="FJI207" s="199"/>
      <c r="FJJ207" s="199"/>
      <c r="FJK207" s="199"/>
      <c r="FJL207" s="199"/>
      <c r="FJM207" s="199"/>
      <c r="FJN207" s="199"/>
      <c r="FJO207" s="199"/>
      <c r="FJP207" s="199"/>
      <c r="FJQ207" s="199"/>
      <c r="FJR207" s="199"/>
      <c r="FJS207" s="199"/>
      <c r="FJT207" s="199"/>
      <c r="FJU207" s="199"/>
      <c r="FJV207" s="199"/>
      <c r="FJW207" s="199"/>
      <c r="FJX207" s="199"/>
      <c r="FJY207" s="199"/>
      <c r="FJZ207" s="199"/>
      <c r="FKA207" s="199"/>
      <c r="FKB207" s="199"/>
      <c r="FKC207" s="199"/>
      <c r="FKD207" s="199"/>
      <c r="FKE207" s="199"/>
      <c r="FKF207" s="199"/>
      <c r="FKG207" s="199"/>
      <c r="FKH207" s="199"/>
      <c r="FKI207" s="199"/>
      <c r="FKJ207" s="199"/>
      <c r="FKK207" s="199"/>
      <c r="FKL207" s="199"/>
      <c r="FKM207" s="199"/>
      <c r="FKN207" s="199"/>
      <c r="FKO207" s="199"/>
      <c r="FKP207" s="199"/>
      <c r="FKQ207" s="199"/>
      <c r="FKR207" s="199"/>
      <c r="FKS207" s="199"/>
      <c r="FKT207" s="199"/>
      <c r="FKU207" s="199"/>
      <c r="FKV207" s="199"/>
      <c r="FKW207" s="199"/>
      <c r="FKX207" s="199"/>
      <c r="FKY207" s="199"/>
      <c r="FKZ207" s="199"/>
      <c r="FLA207" s="199"/>
      <c r="FLB207" s="199"/>
      <c r="FLC207" s="199"/>
      <c r="FLD207" s="199"/>
      <c r="FLE207" s="199"/>
      <c r="FLF207" s="199"/>
      <c r="FLG207" s="199"/>
      <c r="FLH207" s="199"/>
      <c r="FLI207" s="199"/>
      <c r="FLJ207" s="199"/>
      <c r="FLK207" s="199"/>
      <c r="FLL207" s="199"/>
      <c r="FLM207" s="199"/>
      <c r="FLN207" s="199"/>
      <c r="FLO207" s="199"/>
      <c r="FLP207" s="199"/>
      <c r="FLQ207" s="199"/>
      <c r="FLR207" s="199"/>
      <c r="FLS207" s="199"/>
      <c r="FLT207" s="199"/>
      <c r="FLU207" s="199"/>
      <c r="FLV207" s="199"/>
      <c r="FLW207" s="199"/>
      <c r="FLX207" s="199"/>
      <c r="FLY207" s="199"/>
      <c r="FLZ207" s="199"/>
      <c r="FMA207" s="199"/>
      <c r="FMB207" s="199"/>
      <c r="FMC207" s="199"/>
      <c r="FMD207" s="199"/>
      <c r="FME207" s="199"/>
      <c r="FMF207" s="199"/>
      <c r="FMG207" s="199"/>
      <c r="FMH207" s="199"/>
      <c r="FMI207" s="199"/>
      <c r="FMJ207" s="199"/>
      <c r="FMK207" s="199"/>
      <c r="FML207" s="199"/>
      <c r="FMM207" s="199"/>
      <c r="FMN207" s="199"/>
      <c r="FMO207" s="199"/>
      <c r="FMP207" s="199"/>
      <c r="FMQ207" s="199"/>
      <c r="FMR207" s="199"/>
      <c r="FMS207" s="199"/>
      <c r="FMT207" s="199"/>
      <c r="FMU207" s="199"/>
      <c r="FMV207" s="199"/>
      <c r="FMW207" s="199"/>
      <c r="FMX207" s="199"/>
      <c r="FMY207" s="199"/>
      <c r="FMZ207" s="199"/>
      <c r="FNA207" s="199"/>
      <c r="FNB207" s="199"/>
      <c r="FNC207" s="199"/>
      <c r="FND207" s="199"/>
      <c r="FNE207" s="199"/>
      <c r="FNF207" s="199"/>
      <c r="FNG207" s="199"/>
      <c r="FNH207" s="199"/>
      <c r="FNI207" s="199"/>
      <c r="FNJ207" s="199"/>
      <c r="FNK207" s="199"/>
      <c r="FNL207" s="199"/>
      <c r="FNM207" s="199"/>
      <c r="FNN207" s="199"/>
      <c r="FNO207" s="199"/>
      <c r="FNP207" s="199"/>
      <c r="FNQ207" s="199"/>
      <c r="FNR207" s="199"/>
      <c r="FNS207" s="199"/>
      <c r="FNT207" s="199"/>
      <c r="FNU207" s="199"/>
      <c r="FNV207" s="199"/>
      <c r="FNW207" s="199"/>
      <c r="FNX207" s="199"/>
      <c r="FNY207" s="199"/>
      <c r="FNZ207" s="199"/>
      <c r="FOA207" s="199"/>
      <c r="FOB207" s="199"/>
      <c r="FOC207" s="199"/>
      <c r="FOD207" s="199"/>
      <c r="FOE207" s="199"/>
      <c r="FOF207" s="199"/>
      <c r="FOG207" s="199"/>
      <c r="FOH207" s="199"/>
      <c r="FOI207" s="199"/>
      <c r="FOJ207" s="199"/>
      <c r="FOK207" s="199"/>
      <c r="FOL207" s="199"/>
      <c r="FOM207" s="199"/>
      <c r="FON207" s="199"/>
      <c r="FOO207" s="199"/>
      <c r="FOP207" s="199"/>
      <c r="FOQ207" s="199"/>
      <c r="FOR207" s="199"/>
      <c r="FOS207" s="199"/>
      <c r="FOT207" s="199"/>
      <c r="FOU207" s="199"/>
      <c r="FOV207" s="199"/>
      <c r="FOW207" s="199"/>
      <c r="FOX207" s="199"/>
      <c r="FOY207" s="199"/>
      <c r="FOZ207" s="199"/>
      <c r="FPA207" s="199"/>
      <c r="FPB207" s="199"/>
      <c r="FPC207" s="199"/>
      <c r="FPD207" s="199"/>
      <c r="FPE207" s="199"/>
      <c r="FPF207" s="199"/>
      <c r="FPG207" s="199"/>
      <c r="FPH207" s="199"/>
      <c r="FPI207" s="199"/>
      <c r="FPJ207" s="199"/>
      <c r="FPK207" s="199"/>
      <c r="FPL207" s="199"/>
      <c r="FPM207" s="199"/>
      <c r="FPN207" s="199"/>
      <c r="FPO207" s="199"/>
      <c r="FPP207" s="199"/>
      <c r="FPQ207" s="199"/>
      <c r="FPR207" s="199"/>
      <c r="FPS207" s="199"/>
      <c r="FPT207" s="199"/>
      <c r="FPU207" s="199"/>
      <c r="FPV207" s="199"/>
      <c r="FPW207" s="199"/>
      <c r="FPX207" s="199"/>
      <c r="FPY207" s="199"/>
      <c r="FPZ207" s="199"/>
      <c r="FQA207" s="199"/>
      <c r="FQB207" s="199"/>
      <c r="FQC207" s="199"/>
      <c r="FQD207" s="199"/>
      <c r="FQE207" s="199"/>
      <c r="FQF207" s="199"/>
      <c r="FQG207" s="199"/>
      <c r="FQH207" s="199"/>
      <c r="FQI207" s="199"/>
      <c r="FQJ207" s="199"/>
      <c r="FQK207" s="199"/>
      <c r="FQL207" s="199"/>
      <c r="FQM207" s="199"/>
      <c r="FQN207" s="199"/>
      <c r="FQO207" s="199"/>
      <c r="FQP207" s="199"/>
      <c r="FQQ207" s="199"/>
      <c r="FQR207" s="199"/>
      <c r="FQS207" s="199"/>
      <c r="FQT207" s="199"/>
      <c r="FQU207" s="199"/>
      <c r="FQV207" s="199"/>
      <c r="FQW207" s="199"/>
      <c r="FQX207" s="199"/>
      <c r="FQY207" s="199"/>
      <c r="FQZ207" s="199"/>
      <c r="FRA207" s="199"/>
      <c r="FRB207" s="199"/>
      <c r="FRC207" s="199"/>
      <c r="FRD207" s="199"/>
      <c r="FRE207" s="199"/>
      <c r="FRF207" s="199"/>
      <c r="FRG207" s="199"/>
      <c r="FRH207" s="199"/>
      <c r="FRI207" s="199"/>
      <c r="FRJ207" s="199"/>
      <c r="FRK207" s="199"/>
      <c r="FRL207" s="199"/>
      <c r="FRM207" s="199"/>
      <c r="FRN207" s="199"/>
      <c r="FRO207" s="199"/>
      <c r="FRP207" s="199"/>
      <c r="FRQ207" s="199"/>
      <c r="FRR207" s="199"/>
      <c r="FRS207" s="199"/>
      <c r="FRT207" s="199"/>
      <c r="FRU207" s="199"/>
      <c r="FRV207" s="199"/>
      <c r="FRW207" s="199"/>
      <c r="FRX207" s="199"/>
      <c r="FRY207" s="199"/>
      <c r="FRZ207" s="199"/>
      <c r="FSA207" s="199"/>
      <c r="FSB207" s="199"/>
      <c r="FSC207" s="199"/>
      <c r="FSD207" s="199"/>
      <c r="FSE207" s="199"/>
      <c r="FSF207" s="199"/>
      <c r="FSG207" s="199"/>
      <c r="FSH207" s="199"/>
      <c r="FSI207" s="199"/>
      <c r="FSJ207" s="199"/>
      <c r="FSK207" s="199"/>
      <c r="FSL207" s="199"/>
      <c r="FSM207" s="199"/>
      <c r="FSN207" s="199"/>
      <c r="FSO207" s="199"/>
      <c r="FSP207" s="199"/>
      <c r="FSQ207" s="199"/>
      <c r="FSR207" s="199"/>
      <c r="FSS207" s="199"/>
      <c r="FST207" s="199"/>
      <c r="FSU207" s="199"/>
      <c r="FSV207" s="199"/>
      <c r="FSW207" s="199"/>
      <c r="FSX207" s="199"/>
      <c r="FSY207" s="199"/>
      <c r="FSZ207" s="199"/>
      <c r="FTA207" s="199"/>
      <c r="FTB207" s="199"/>
      <c r="FTC207" s="199"/>
      <c r="FTD207" s="199"/>
      <c r="FTE207" s="199"/>
      <c r="FTF207" s="199"/>
      <c r="FTG207" s="199"/>
      <c r="FTH207" s="199"/>
      <c r="FTI207" s="199"/>
      <c r="FTJ207" s="199"/>
      <c r="FTK207" s="199"/>
      <c r="FTL207" s="199"/>
      <c r="FTM207" s="199"/>
      <c r="FTN207" s="199"/>
      <c r="FTO207" s="199"/>
      <c r="FTP207" s="199"/>
      <c r="FTQ207" s="199"/>
      <c r="FTR207" s="199"/>
      <c r="FTS207" s="199"/>
      <c r="FTT207" s="199"/>
      <c r="FTU207" s="199"/>
      <c r="FTV207" s="199"/>
      <c r="FTW207" s="199"/>
      <c r="FTX207" s="199"/>
      <c r="FTY207" s="199"/>
      <c r="FTZ207" s="199"/>
      <c r="FUA207" s="199"/>
      <c r="FUB207" s="199"/>
      <c r="FUC207" s="199"/>
      <c r="FUD207" s="199"/>
      <c r="FUE207" s="199"/>
      <c r="FUF207" s="199"/>
      <c r="FUG207" s="199"/>
      <c r="FUH207" s="199"/>
      <c r="FUI207" s="199"/>
      <c r="FUJ207" s="199"/>
      <c r="FUK207" s="199"/>
      <c r="FUL207" s="199"/>
      <c r="FUM207" s="199"/>
      <c r="FUN207" s="199"/>
      <c r="FUO207" s="199"/>
      <c r="FUP207" s="199"/>
      <c r="FUQ207" s="199"/>
      <c r="FUR207" s="199"/>
      <c r="FUS207" s="199"/>
      <c r="FUT207" s="199"/>
      <c r="FUU207" s="199"/>
      <c r="FUV207" s="199"/>
      <c r="FUW207" s="199"/>
      <c r="FUX207" s="199"/>
      <c r="FUY207" s="199"/>
      <c r="FUZ207" s="199"/>
      <c r="FVA207" s="199"/>
      <c r="FVB207" s="199"/>
      <c r="FVC207" s="199"/>
      <c r="FVD207" s="199"/>
      <c r="FVE207" s="199"/>
      <c r="FVF207" s="199"/>
      <c r="FVG207" s="199"/>
      <c r="FVH207" s="199"/>
      <c r="FVI207" s="199"/>
      <c r="FVJ207" s="199"/>
      <c r="FVK207" s="199"/>
      <c r="FVL207" s="199"/>
      <c r="FVM207" s="199"/>
      <c r="FVN207" s="199"/>
      <c r="FVO207" s="199"/>
      <c r="FVP207" s="199"/>
      <c r="FVQ207" s="199"/>
      <c r="FVR207" s="199"/>
      <c r="FVS207" s="199"/>
      <c r="FVT207" s="199"/>
      <c r="FVU207" s="199"/>
      <c r="FVV207" s="199"/>
      <c r="FVW207" s="199"/>
      <c r="FVX207" s="199"/>
      <c r="FVY207" s="199"/>
      <c r="FVZ207" s="199"/>
      <c r="FWA207" s="199"/>
      <c r="FWB207" s="199"/>
      <c r="FWC207" s="199"/>
      <c r="FWD207" s="199"/>
      <c r="FWE207" s="199"/>
      <c r="FWF207" s="199"/>
      <c r="FWG207" s="199"/>
      <c r="FWH207" s="199"/>
      <c r="FWI207" s="199"/>
      <c r="FWJ207" s="199"/>
      <c r="FWK207" s="199"/>
      <c r="FWL207" s="199"/>
      <c r="FWM207" s="199"/>
      <c r="FWN207" s="199"/>
      <c r="FWO207" s="199"/>
      <c r="FWP207" s="199"/>
      <c r="FWQ207" s="199"/>
      <c r="FWR207" s="199"/>
      <c r="FWS207" s="199"/>
      <c r="FWT207" s="199"/>
      <c r="FWU207" s="199"/>
      <c r="FWV207" s="199"/>
      <c r="FWW207" s="199"/>
      <c r="FWX207" s="199"/>
      <c r="FWY207" s="199"/>
      <c r="FWZ207" s="199"/>
      <c r="FXA207" s="199"/>
      <c r="FXB207" s="199"/>
      <c r="FXC207" s="199"/>
      <c r="FXD207" s="199"/>
      <c r="FXE207" s="199"/>
      <c r="FXF207" s="199"/>
      <c r="FXG207" s="199"/>
      <c r="FXH207" s="199"/>
      <c r="FXI207" s="199"/>
      <c r="FXJ207" s="199"/>
      <c r="FXK207" s="199"/>
      <c r="FXL207" s="199"/>
      <c r="FXM207" s="199"/>
      <c r="FXN207" s="199"/>
      <c r="FXO207" s="199"/>
      <c r="FXP207" s="199"/>
      <c r="FXQ207" s="199"/>
      <c r="FXR207" s="199"/>
      <c r="FXS207" s="199"/>
      <c r="FXT207" s="199"/>
      <c r="FXU207" s="199"/>
      <c r="FXV207" s="199"/>
      <c r="FXW207" s="199"/>
      <c r="FXX207" s="199"/>
      <c r="FXY207" s="199"/>
      <c r="FXZ207" s="199"/>
      <c r="FYA207" s="199"/>
      <c r="FYB207" s="199"/>
      <c r="FYC207" s="199"/>
      <c r="FYD207" s="199"/>
      <c r="FYE207" s="199"/>
      <c r="FYF207" s="199"/>
      <c r="FYG207" s="199"/>
      <c r="FYH207" s="199"/>
      <c r="FYI207" s="199"/>
      <c r="FYJ207" s="199"/>
      <c r="FYK207" s="199"/>
      <c r="FYL207" s="199"/>
      <c r="FYM207" s="199"/>
      <c r="FYN207" s="199"/>
      <c r="FYO207" s="199"/>
      <c r="FYP207" s="199"/>
      <c r="FYQ207" s="199"/>
      <c r="FYR207" s="199"/>
      <c r="FYS207" s="199"/>
      <c r="FYT207" s="199"/>
      <c r="FYU207" s="199"/>
      <c r="FYV207" s="199"/>
      <c r="FYW207" s="199"/>
      <c r="FYX207" s="199"/>
      <c r="FYY207" s="199"/>
      <c r="FYZ207" s="199"/>
      <c r="FZA207" s="199"/>
      <c r="FZB207" s="199"/>
      <c r="FZC207" s="199"/>
      <c r="FZD207" s="199"/>
      <c r="FZE207" s="199"/>
      <c r="FZF207" s="199"/>
      <c r="FZG207" s="199"/>
      <c r="FZH207" s="199"/>
      <c r="FZI207" s="199"/>
      <c r="FZJ207" s="199"/>
      <c r="FZK207" s="199"/>
      <c r="FZL207" s="199"/>
      <c r="FZM207" s="199"/>
      <c r="FZN207" s="199"/>
      <c r="FZO207" s="199"/>
      <c r="FZP207" s="199"/>
      <c r="FZQ207" s="199"/>
      <c r="FZR207" s="199"/>
      <c r="FZS207" s="199"/>
      <c r="FZT207" s="199"/>
      <c r="FZU207" s="199"/>
      <c r="FZV207" s="199"/>
      <c r="FZW207" s="199"/>
      <c r="FZX207" s="199"/>
      <c r="FZY207" s="199"/>
      <c r="FZZ207" s="199"/>
      <c r="GAA207" s="199"/>
      <c r="GAB207" s="199"/>
      <c r="GAC207" s="199"/>
      <c r="GAD207" s="199"/>
      <c r="GAE207" s="199"/>
      <c r="GAF207" s="199"/>
      <c r="GAG207" s="199"/>
      <c r="GAH207" s="199"/>
      <c r="GAI207" s="199"/>
      <c r="GAJ207" s="199"/>
      <c r="GAK207" s="199"/>
      <c r="GAL207" s="199"/>
      <c r="GAM207" s="199"/>
      <c r="GAN207" s="199"/>
      <c r="GAO207" s="199"/>
      <c r="GAP207" s="199"/>
      <c r="GAQ207" s="199"/>
      <c r="GAR207" s="199"/>
      <c r="GAS207" s="199"/>
      <c r="GAT207" s="199"/>
      <c r="GAU207" s="199"/>
      <c r="GAV207" s="199"/>
      <c r="GAW207" s="199"/>
      <c r="GAX207" s="199"/>
      <c r="GAY207" s="199"/>
      <c r="GAZ207" s="199"/>
      <c r="GBA207" s="199"/>
      <c r="GBB207" s="199"/>
      <c r="GBC207" s="199"/>
      <c r="GBD207" s="199"/>
      <c r="GBE207" s="199"/>
      <c r="GBF207" s="199"/>
      <c r="GBG207" s="199"/>
      <c r="GBH207" s="199"/>
      <c r="GBI207" s="199"/>
      <c r="GBJ207" s="199"/>
      <c r="GBK207" s="199"/>
      <c r="GBL207" s="199"/>
      <c r="GBM207" s="199"/>
      <c r="GBN207" s="199"/>
      <c r="GBO207" s="199"/>
      <c r="GBP207" s="199"/>
      <c r="GBQ207" s="199"/>
      <c r="GBR207" s="199"/>
      <c r="GBS207" s="199"/>
      <c r="GBT207" s="199"/>
      <c r="GBU207" s="199"/>
      <c r="GBV207" s="199"/>
      <c r="GBW207" s="199"/>
      <c r="GBX207" s="199"/>
      <c r="GBY207" s="199"/>
      <c r="GBZ207" s="199"/>
      <c r="GCA207" s="199"/>
      <c r="GCB207" s="199"/>
      <c r="GCC207" s="199"/>
      <c r="GCD207" s="199"/>
      <c r="GCE207" s="199"/>
      <c r="GCF207" s="199"/>
      <c r="GCG207" s="199"/>
      <c r="GCH207" s="199"/>
      <c r="GCI207" s="199"/>
      <c r="GCJ207" s="199"/>
      <c r="GCK207" s="199"/>
      <c r="GCL207" s="199"/>
      <c r="GCM207" s="199"/>
      <c r="GCN207" s="199"/>
      <c r="GCO207" s="199"/>
      <c r="GCP207" s="199"/>
      <c r="GCQ207" s="199"/>
      <c r="GCR207" s="199"/>
      <c r="GCS207" s="199"/>
      <c r="GCT207" s="199"/>
      <c r="GCU207" s="199"/>
      <c r="GCV207" s="199"/>
      <c r="GCW207" s="199"/>
      <c r="GCX207" s="199"/>
      <c r="GCY207" s="199"/>
      <c r="GCZ207" s="199"/>
      <c r="GDA207" s="199"/>
      <c r="GDB207" s="199"/>
      <c r="GDC207" s="199"/>
      <c r="GDD207" s="199"/>
      <c r="GDE207" s="199"/>
      <c r="GDF207" s="199"/>
      <c r="GDG207" s="199"/>
      <c r="GDH207" s="199"/>
      <c r="GDI207" s="199"/>
      <c r="GDJ207" s="199"/>
      <c r="GDK207" s="199"/>
      <c r="GDL207" s="199"/>
      <c r="GDM207" s="199"/>
      <c r="GDN207" s="199"/>
      <c r="GDO207" s="199"/>
      <c r="GDP207" s="199"/>
      <c r="GDQ207" s="199"/>
      <c r="GDR207" s="199"/>
      <c r="GDS207" s="199"/>
      <c r="GDT207" s="199"/>
      <c r="GDU207" s="199"/>
      <c r="GDV207" s="199"/>
      <c r="GDW207" s="199"/>
      <c r="GDX207" s="199"/>
      <c r="GDY207" s="199"/>
      <c r="GDZ207" s="199"/>
      <c r="GEA207" s="199"/>
      <c r="GEB207" s="199"/>
      <c r="GEC207" s="199"/>
      <c r="GED207" s="199"/>
      <c r="GEE207" s="199"/>
      <c r="GEF207" s="199"/>
      <c r="GEG207" s="199"/>
      <c r="GEH207" s="199"/>
      <c r="GEI207" s="199"/>
      <c r="GEJ207" s="199"/>
      <c r="GEK207" s="199"/>
      <c r="GEL207" s="199"/>
      <c r="GEM207" s="199"/>
      <c r="GEN207" s="199"/>
      <c r="GEO207" s="199"/>
      <c r="GEP207" s="199"/>
      <c r="GEQ207" s="199"/>
      <c r="GER207" s="199"/>
      <c r="GES207" s="199"/>
      <c r="GET207" s="199"/>
      <c r="GEU207" s="199"/>
      <c r="GEV207" s="199"/>
      <c r="GEW207" s="199"/>
      <c r="GEX207" s="199"/>
      <c r="GEY207" s="199"/>
      <c r="GEZ207" s="199"/>
      <c r="GFA207" s="199"/>
      <c r="GFB207" s="199"/>
      <c r="GFC207" s="199"/>
      <c r="GFD207" s="199"/>
      <c r="GFE207" s="199"/>
      <c r="GFF207" s="199"/>
      <c r="GFG207" s="199"/>
      <c r="GFH207" s="199"/>
      <c r="GFI207" s="199"/>
      <c r="GFJ207" s="199"/>
      <c r="GFK207" s="199"/>
      <c r="GFL207" s="199"/>
      <c r="GFM207" s="199"/>
      <c r="GFN207" s="199"/>
      <c r="GFO207" s="199"/>
      <c r="GFP207" s="199"/>
      <c r="GFQ207" s="199"/>
      <c r="GFR207" s="199"/>
      <c r="GFS207" s="199"/>
      <c r="GFT207" s="199"/>
      <c r="GFU207" s="199"/>
      <c r="GFV207" s="199"/>
      <c r="GFW207" s="199"/>
      <c r="GFX207" s="199"/>
      <c r="GFY207" s="199"/>
      <c r="GFZ207" s="199"/>
      <c r="GGA207" s="199"/>
      <c r="GGB207" s="199"/>
      <c r="GGC207" s="199"/>
      <c r="GGD207" s="199"/>
      <c r="GGE207" s="199"/>
      <c r="GGF207" s="199"/>
      <c r="GGG207" s="199"/>
      <c r="GGH207" s="199"/>
      <c r="GGI207" s="199"/>
      <c r="GGJ207" s="199"/>
      <c r="GGK207" s="199"/>
      <c r="GGL207" s="199"/>
      <c r="GGM207" s="199"/>
      <c r="GGN207" s="199"/>
      <c r="GGO207" s="199"/>
      <c r="GGP207" s="199"/>
      <c r="GGQ207" s="199"/>
      <c r="GGR207" s="199"/>
      <c r="GGS207" s="199"/>
      <c r="GGT207" s="199"/>
      <c r="GGU207" s="199"/>
      <c r="GGV207" s="199"/>
      <c r="GGW207" s="199"/>
      <c r="GGX207" s="199"/>
      <c r="GGY207" s="199"/>
      <c r="GGZ207" s="199"/>
      <c r="GHA207" s="199"/>
      <c r="GHB207" s="199"/>
      <c r="GHC207" s="199"/>
      <c r="GHD207" s="199"/>
      <c r="GHE207" s="199"/>
      <c r="GHF207" s="199"/>
      <c r="GHG207" s="199"/>
      <c r="GHH207" s="199"/>
      <c r="GHI207" s="199"/>
      <c r="GHJ207" s="199"/>
      <c r="GHK207" s="199"/>
      <c r="GHL207" s="199"/>
      <c r="GHM207" s="199"/>
      <c r="GHN207" s="199"/>
      <c r="GHO207" s="199"/>
      <c r="GHP207" s="199"/>
      <c r="GHQ207" s="199"/>
      <c r="GHR207" s="199"/>
      <c r="GHS207" s="199"/>
      <c r="GHT207" s="199"/>
      <c r="GHU207" s="199"/>
      <c r="GHV207" s="199"/>
      <c r="GHW207" s="199"/>
      <c r="GHX207" s="199"/>
      <c r="GHY207" s="199"/>
      <c r="GHZ207" s="199"/>
      <c r="GIA207" s="199"/>
      <c r="GIB207" s="199"/>
      <c r="GIC207" s="199"/>
      <c r="GID207" s="199"/>
      <c r="GIE207" s="199"/>
      <c r="GIF207" s="199"/>
      <c r="GIG207" s="199"/>
      <c r="GIH207" s="199"/>
      <c r="GII207" s="199"/>
      <c r="GIJ207" s="199"/>
      <c r="GIK207" s="199"/>
      <c r="GIL207" s="199"/>
      <c r="GIM207" s="199"/>
      <c r="GIN207" s="199"/>
      <c r="GIO207" s="199"/>
      <c r="GIP207" s="199"/>
      <c r="GIQ207" s="199"/>
      <c r="GIR207" s="199"/>
      <c r="GIS207" s="199"/>
      <c r="GIT207" s="199"/>
      <c r="GIU207" s="199"/>
      <c r="GIV207" s="199"/>
      <c r="GIW207" s="199"/>
      <c r="GIX207" s="199"/>
      <c r="GIY207" s="199"/>
      <c r="GIZ207" s="199"/>
      <c r="GJA207" s="199"/>
      <c r="GJB207" s="199"/>
      <c r="GJC207" s="199"/>
      <c r="GJD207" s="199"/>
      <c r="GJE207" s="199"/>
      <c r="GJF207" s="199"/>
      <c r="GJG207" s="199"/>
      <c r="GJH207" s="199"/>
      <c r="GJI207" s="199"/>
      <c r="GJJ207" s="199"/>
      <c r="GJK207" s="199"/>
      <c r="GJL207" s="199"/>
      <c r="GJM207" s="199"/>
      <c r="GJN207" s="199"/>
      <c r="GJO207" s="199"/>
      <c r="GJP207" s="199"/>
      <c r="GJQ207" s="199"/>
      <c r="GJR207" s="199"/>
      <c r="GJS207" s="199"/>
      <c r="GJT207" s="199"/>
      <c r="GJU207" s="199"/>
      <c r="GJV207" s="199"/>
      <c r="GJW207" s="199"/>
      <c r="GJX207" s="199"/>
      <c r="GJY207" s="199"/>
      <c r="GJZ207" s="199"/>
      <c r="GKA207" s="199"/>
      <c r="GKB207" s="199"/>
      <c r="GKC207" s="199"/>
      <c r="GKD207" s="199"/>
      <c r="GKE207" s="199"/>
      <c r="GKF207" s="199"/>
      <c r="GKG207" s="199"/>
      <c r="GKH207" s="199"/>
      <c r="GKI207" s="199"/>
      <c r="GKJ207" s="199"/>
      <c r="GKK207" s="199"/>
      <c r="GKL207" s="199"/>
      <c r="GKM207" s="199"/>
      <c r="GKN207" s="199"/>
      <c r="GKO207" s="199"/>
      <c r="GKP207" s="199"/>
      <c r="GKQ207" s="199"/>
      <c r="GKR207" s="199"/>
      <c r="GKS207" s="199"/>
      <c r="GKT207" s="199"/>
      <c r="GKU207" s="199"/>
      <c r="GKV207" s="199"/>
      <c r="GKW207" s="199"/>
      <c r="GKX207" s="199"/>
      <c r="GKY207" s="199"/>
      <c r="GKZ207" s="199"/>
      <c r="GLA207" s="199"/>
      <c r="GLB207" s="199"/>
      <c r="GLC207" s="199"/>
      <c r="GLD207" s="199"/>
      <c r="GLE207" s="199"/>
      <c r="GLF207" s="199"/>
      <c r="GLG207" s="199"/>
      <c r="GLH207" s="199"/>
      <c r="GLI207" s="199"/>
      <c r="GLJ207" s="199"/>
      <c r="GLK207" s="199"/>
      <c r="GLL207" s="199"/>
      <c r="GLM207" s="199"/>
      <c r="GLN207" s="199"/>
      <c r="GLO207" s="199"/>
      <c r="GLP207" s="199"/>
      <c r="GLQ207" s="199"/>
      <c r="GLR207" s="199"/>
      <c r="GLS207" s="199"/>
      <c r="GLT207" s="199"/>
      <c r="GLU207" s="199"/>
      <c r="GLV207" s="199"/>
      <c r="GLW207" s="199"/>
      <c r="GLX207" s="199"/>
      <c r="GLY207" s="199"/>
      <c r="GLZ207" s="199"/>
      <c r="GMA207" s="199"/>
      <c r="GMB207" s="199"/>
      <c r="GMC207" s="199"/>
      <c r="GMD207" s="199"/>
      <c r="GME207" s="199"/>
      <c r="GMF207" s="199"/>
      <c r="GMG207" s="199"/>
      <c r="GMH207" s="199"/>
      <c r="GMI207" s="199"/>
      <c r="GMJ207" s="199"/>
      <c r="GMK207" s="199"/>
      <c r="GML207" s="199"/>
      <c r="GMM207" s="199"/>
      <c r="GMN207" s="199"/>
      <c r="GMO207" s="199"/>
      <c r="GMP207" s="199"/>
      <c r="GMQ207" s="199"/>
      <c r="GMR207" s="199"/>
      <c r="GMS207" s="199"/>
      <c r="GMT207" s="199"/>
      <c r="GMU207" s="199"/>
      <c r="GMV207" s="199"/>
      <c r="GMW207" s="199"/>
      <c r="GMX207" s="199"/>
      <c r="GMY207" s="199"/>
      <c r="GMZ207" s="199"/>
      <c r="GNA207" s="199"/>
      <c r="GNB207" s="199"/>
      <c r="GNC207" s="199"/>
      <c r="GND207" s="199"/>
      <c r="GNE207" s="199"/>
      <c r="GNF207" s="199"/>
      <c r="GNG207" s="199"/>
      <c r="GNH207" s="199"/>
      <c r="GNI207" s="199"/>
      <c r="GNJ207" s="199"/>
      <c r="GNK207" s="199"/>
      <c r="GNL207" s="199"/>
      <c r="GNM207" s="199"/>
      <c r="GNN207" s="199"/>
      <c r="GNO207" s="199"/>
      <c r="GNP207" s="199"/>
      <c r="GNQ207" s="199"/>
      <c r="GNR207" s="199"/>
      <c r="GNS207" s="199"/>
      <c r="GNT207" s="199"/>
      <c r="GNU207" s="199"/>
      <c r="GNV207" s="199"/>
      <c r="GNW207" s="199"/>
      <c r="GNX207" s="199"/>
      <c r="GNY207" s="199"/>
      <c r="GNZ207" s="199"/>
      <c r="GOA207" s="199"/>
      <c r="GOB207" s="199"/>
      <c r="GOC207" s="199"/>
      <c r="GOD207" s="199"/>
      <c r="GOE207" s="199"/>
      <c r="GOF207" s="199"/>
      <c r="GOG207" s="199"/>
      <c r="GOH207" s="199"/>
      <c r="GOI207" s="199"/>
      <c r="GOJ207" s="199"/>
      <c r="GOK207" s="199"/>
      <c r="GOL207" s="199"/>
      <c r="GOM207" s="199"/>
      <c r="GON207" s="199"/>
      <c r="GOO207" s="199"/>
      <c r="GOP207" s="199"/>
      <c r="GOQ207" s="199"/>
      <c r="GOR207" s="199"/>
      <c r="GOS207" s="199"/>
      <c r="GOT207" s="199"/>
      <c r="GOU207" s="199"/>
      <c r="GOV207" s="199"/>
      <c r="GOW207" s="199"/>
      <c r="GOX207" s="199"/>
      <c r="GOY207" s="199"/>
      <c r="GOZ207" s="199"/>
      <c r="GPA207" s="199"/>
      <c r="GPB207" s="199"/>
      <c r="GPC207" s="199"/>
      <c r="GPD207" s="199"/>
      <c r="GPE207" s="199"/>
      <c r="GPF207" s="199"/>
      <c r="GPG207" s="199"/>
      <c r="GPH207" s="199"/>
      <c r="GPI207" s="199"/>
      <c r="GPJ207" s="199"/>
      <c r="GPK207" s="199"/>
      <c r="GPL207" s="199"/>
      <c r="GPM207" s="199"/>
      <c r="GPN207" s="199"/>
      <c r="GPO207" s="199"/>
      <c r="GPP207" s="199"/>
      <c r="GPQ207" s="199"/>
      <c r="GPR207" s="199"/>
      <c r="GPS207" s="199"/>
      <c r="GPT207" s="199"/>
      <c r="GPU207" s="199"/>
      <c r="GPV207" s="199"/>
      <c r="GPW207" s="199"/>
      <c r="GPX207" s="199"/>
      <c r="GPY207" s="199"/>
      <c r="GPZ207" s="199"/>
      <c r="GQA207" s="199"/>
      <c r="GQB207" s="199"/>
      <c r="GQC207" s="199"/>
      <c r="GQD207" s="199"/>
      <c r="GQE207" s="199"/>
      <c r="GQF207" s="199"/>
      <c r="GQG207" s="199"/>
      <c r="GQH207" s="199"/>
      <c r="GQI207" s="199"/>
      <c r="GQJ207" s="199"/>
      <c r="GQK207" s="199"/>
      <c r="GQL207" s="199"/>
      <c r="GQM207" s="199"/>
      <c r="GQN207" s="199"/>
      <c r="GQO207" s="199"/>
      <c r="GQP207" s="199"/>
      <c r="GQQ207" s="199"/>
      <c r="GQR207" s="199"/>
      <c r="GQS207" s="199"/>
      <c r="GQT207" s="199"/>
      <c r="GQU207" s="199"/>
      <c r="GQV207" s="199"/>
      <c r="GQW207" s="199"/>
      <c r="GQX207" s="199"/>
      <c r="GQY207" s="199"/>
      <c r="GQZ207" s="199"/>
      <c r="GRA207" s="199"/>
      <c r="GRB207" s="199"/>
      <c r="GRC207" s="199"/>
      <c r="GRD207" s="199"/>
      <c r="GRE207" s="199"/>
      <c r="GRF207" s="199"/>
      <c r="GRG207" s="199"/>
      <c r="GRH207" s="199"/>
      <c r="GRI207" s="199"/>
      <c r="GRJ207" s="199"/>
      <c r="GRK207" s="199"/>
      <c r="GRL207" s="199"/>
      <c r="GRM207" s="199"/>
      <c r="GRN207" s="199"/>
      <c r="GRO207" s="199"/>
      <c r="GRP207" s="199"/>
      <c r="GRQ207" s="199"/>
      <c r="GRR207" s="199"/>
      <c r="GRS207" s="199"/>
      <c r="GRT207" s="199"/>
      <c r="GRU207" s="199"/>
      <c r="GRV207" s="199"/>
      <c r="GRW207" s="199"/>
      <c r="GRX207" s="199"/>
      <c r="GRY207" s="199"/>
      <c r="GRZ207" s="199"/>
      <c r="GSA207" s="199"/>
      <c r="GSB207" s="199"/>
      <c r="GSC207" s="199"/>
      <c r="GSD207" s="199"/>
      <c r="GSE207" s="199"/>
      <c r="GSF207" s="199"/>
      <c r="GSG207" s="199"/>
      <c r="GSH207" s="199"/>
      <c r="GSI207" s="199"/>
      <c r="GSJ207" s="199"/>
      <c r="GSK207" s="199"/>
      <c r="GSL207" s="199"/>
      <c r="GSM207" s="199"/>
      <c r="GSN207" s="199"/>
      <c r="GSO207" s="199"/>
      <c r="GSP207" s="199"/>
      <c r="GSQ207" s="199"/>
      <c r="GSR207" s="199"/>
      <c r="GSS207" s="199"/>
      <c r="GST207" s="199"/>
      <c r="GSU207" s="199"/>
      <c r="GSV207" s="199"/>
      <c r="GSW207" s="199"/>
      <c r="GSX207" s="199"/>
      <c r="GSY207" s="199"/>
      <c r="GSZ207" s="199"/>
      <c r="GTA207" s="199"/>
      <c r="GTB207" s="199"/>
      <c r="GTC207" s="199"/>
      <c r="GTD207" s="199"/>
      <c r="GTE207" s="199"/>
      <c r="GTF207" s="199"/>
      <c r="GTG207" s="199"/>
      <c r="GTH207" s="199"/>
      <c r="GTI207" s="199"/>
      <c r="GTJ207" s="199"/>
      <c r="GTK207" s="199"/>
      <c r="GTL207" s="199"/>
      <c r="GTM207" s="199"/>
      <c r="GTN207" s="199"/>
      <c r="GTO207" s="199"/>
      <c r="GTP207" s="199"/>
      <c r="GTQ207" s="199"/>
      <c r="GTR207" s="199"/>
      <c r="GTS207" s="199"/>
      <c r="GTT207" s="199"/>
      <c r="GTU207" s="199"/>
      <c r="GTV207" s="199"/>
      <c r="GTW207" s="199"/>
      <c r="GTX207" s="199"/>
      <c r="GTY207" s="199"/>
      <c r="GTZ207" s="199"/>
      <c r="GUA207" s="199"/>
      <c r="GUB207" s="199"/>
      <c r="GUC207" s="199"/>
      <c r="GUD207" s="199"/>
      <c r="GUE207" s="199"/>
      <c r="GUF207" s="199"/>
      <c r="GUG207" s="199"/>
      <c r="GUH207" s="199"/>
      <c r="GUI207" s="199"/>
      <c r="GUJ207" s="199"/>
      <c r="GUK207" s="199"/>
      <c r="GUL207" s="199"/>
      <c r="GUM207" s="199"/>
      <c r="GUN207" s="199"/>
      <c r="GUO207" s="199"/>
      <c r="GUP207" s="199"/>
      <c r="GUQ207" s="199"/>
      <c r="GUR207" s="199"/>
      <c r="GUS207" s="199"/>
      <c r="GUT207" s="199"/>
      <c r="GUU207" s="199"/>
      <c r="GUV207" s="199"/>
      <c r="GUW207" s="199"/>
      <c r="GUX207" s="199"/>
      <c r="GUY207" s="199"/>
      <c r="GUZ207" s="199"/>
      <c r="GVA207" s="199"/>
      <c r="GVB207" s="199"/>
      <c r="GVC207" s="199"/>
      <c r="GVD207" s="199"/>
      <c r="GVE207" s="199"/>
      <c r="GVF207" s="199"/>
      <c r="GVG207" s="199"/>
      <c r="GVH207" s="199"/>
      <c r="GVI207" s="199"/>
      <c r="GVJ207" s="199"/>
      <c r="GVK207" s="199"/>
      <c r="GVL207" s="199"/>
      <c r="GVM207" s="199"/>
      <c r="GVN207" s="199"/>
      <c r="GVO207" s="199"/>
      <c r="GVP207" s="199"/>
      <c r="GVQ207" s="199"/>
      <c r="GVR207" s="199"/>
      <c r="GVS207" s="199"/>
      <c r="GVT207" s="199"/>
      <c r="GVU207" s="199"/>
      <c r="GVV207" s="199"/>
      <c r="GVW207" s="199"/>
      <c r="GVX207" s="199"/>
      <c r="GVY207" s="199"/>
      <c r="GVZ207" s="199"/>
      <c r="GWA207" s="199"/>
      <c r="GWB207" s="199"/>
      <c r="GWC207" s="199"/>
      <c r="GWD207" s="199"/>
      <c r="GWE207" s="199"/>
      <c r="GWF207" s="199"/>
      <c r="GWG207" s="199"/>
      <c r="GWH207" s="199"/>
      <c r="GWI207" s="199"/>
      <c r="GWJ207" s="199"/>
      <c r="GWK207" s="199"/>
      <c r="GWL207" s="199"/>
      <c r="GWM207" s="199"/>
      <c r="GWN207" s="199"/>
      <c r="GWO207" s="199"/>
      <c r="GWP207" s="199"/>
      <c r="GWQ207" s="199"/>
      <c r="GWR207" s="199"/>
      <c r="GWS207" s="199"/>
      <c r="GWT207" s="199"/>
      <c r="GWU207" s="199"/>
      <c r="GWV207" s="199"/>
      <c r="GWW207" s="199"/>
      <c r="GWX207" s="199"/>
      <c r="GWY207" s="199"/>
      <c r="GWZ207" s="199"/>
      <c r="GXA207" s="199"/>
      <c r="GXB207" s="199"/>
      <c r="GXC207" s="199"/>
      <c r="GXD207" s="199"/>
      <c r="GXE207" s="199"/>
      <c r="GXF207" s="199"/>
      <c r="GXG207" s="199"/>
      <c r="GXH207" s="199"/>
      <c r="GXI207" s="199"/>
      <c r="GXJ207" s="199"/>
      <c r="GXK207" s="199"/>
      <c r="GXL207" s="199"/>
      <c r="GXM207" s="199"/>
      <c r="GXN207" s="199"/>
      <c r="GXO207" s="199"/>
      <c r="GXP207" s="199"/>
      <c r="GXQ207" s="199"/>
      <c r="GXR207" s="199"/>
      <c r="GXS207" s="199"/>
      <c r="GXT207" s="199"/>
      <c r="GXU207" s="199"/>
      <c r="GXV207" s="199"/>
      <c r="GXW207" s="199"/>
      <c r="GXX207" s="199"/>
      <c r="GXY207" s="199"/>
      <c r="GXZ207" s="199"/>
      <c r="GYA207" s="199"/>
      <c r="GYB207" s="199"/>
      <c r="GYC207" s="199"/>
      <c r="GYD207" s="199"/>
      <c r="GYE207" s="199"/>
      <c r="GYF207" s="199"/>
      <c r="GYG207" s="199"/>
      <c r="GYH207" s="199"/>
      <c r="GYI207" s="199"/>
      <c r="GYJ207" s="199"/>
      <c r="GYK207" s="199"/>
      <c r="GYL207" s="199"/>
      <c r="GYM207" s="199"/>
      <c r="GYN207" s="199"/>
      <c r="GYO207" s="199"/>
      <c r="GYP207" s="199"/>
      <c r="GYQ207" s="199"/>
      <c r="GYR207" s="199"/>
      <c r="GYS207" s="199"/>
      <c r="GYT207" s="199"/>
      <c r="GYU207" s="199"/>
      <c r="GYV207" s="199"/>
      <c r="GYW207" s="199"/>
      <c r="GYX207" s="199"/>
      <c r="GYY207" s="199"/>
      <c r="GYZ207" s="199"/>
      <c r="GZA207" s="199"/>
      <c r="GZB207" s="199"/>
      <c r="GZC207" s="199"/>
      <c r="GZD207" s="199"/>
      <c r="GZE207" s="199"/>
      <c r="GZF207" s="199"/>
      <c r="GZG207" s="199"/>
      <c r="GZH207" s="199"/>
      <c r="GZI207" s="199"/>
      <c r="GZJ207" s="199"/>
      <c r="GZK207" s="199"/>
      <c r="GZL207" s="199"/>
      <c r="GZM207" s="199"/>
      <c r="GZN207" s="199"/>
      <c r="GZO207" s="199"/>
      <c r="GZP207" s="199"/>
      <c r="GZQ207" s="199"/>
      <c r="GZR207" s="199"/>
      <c r="GZS207" s="199"/>
      <c r="GZT207" s="199"/>
      <c r="GZU207" s="199"/>
      <c r="GZV207" s="199"/>
      <c r="GZW207" s="199"/>
      <c r="GZX207" s="199"/>
      <c r="GZY207" s="199"/>
      <c r="GZZ207" s="199"/>
      <c r="HAA207" s="199"/>
      <c r="HAB207" s="199"/>
      <c r="HAC207" s="199"/>
      <c r="HAD207" s="199"/>
      <c r="HAE207" s="199"/>
      <c r="HAF207" s="199"/>
      <c r="HAG207" s="199"/>
      <c r="HAH207" s="199"/>
      <c r="HAI207" s="199"/>
      <c r="HAJ207" s="199"/>
      <c r="HAK207" s="199"/>
      <c r="HAL207" s="199"/>
      <c r="HAM207" s="199"/>
      <c r="HAN207" s="199"/>
      <c r="HAO207" s="199"/>
      <c r="HAP207" s="199"/>
      <c r="HAQ207" s="199"/>
      <c r="HAR207" s="199"/>
      <c r="HAS207" s="199"/>
      <c r="HAT207" s="199"/>
      <c r="HAU207" s="199"/>
      <c r="HAV207" s="199"/>
      <c r="HAW207" s="199"/>
      <c r="HAX207" s="199"/>
      <c r="HAY207" s="199"/>
      <c r="HAZ207" s="199"/>
      <c r="HBA207" s="199"/>
      <c r="HBB207" s="199"/>
      <c r="HBC207" s="199"/>
      <c r="HBD207" s="199"/>
      <c r="HBE207" s="199"/>
      <c r="HBF207" s="199"/>
      <c r="HBG207" s="199"/>
      <c r="HBH207" s="199"/>
      <c r="HBI207" s="199"/>
      <c r="HBJ207" s="199"/>
      <c r="HBK207" s="199"/>
      <c r="HBL207" s="199"/>
      <c r="HBM207" s="199"/>
      <c r="HBN207" s="199"/>
      <c r="HBO207" s="199"/>
      <c r="HBP207" s="199"/>
      <c r="HBQ207" s="199"/>
      <c r="HBR207" s="199"/>
      <c r="HBS207" s="199"/>
      <c r="HBT207" s="199"/>
      <c r="HBU207" s="199"/>
      <c r="HBV207" s="199"/>
      <c r="HBW207" s="199"/>
      <c r="HBX207" s="199"/>
      <c r="HBY207" s="199"/>
      <c r="HBZ207" s="199"/>
      <c r="HCA207" s="199"/>
      <c r="HCB207" s="199"/>
      <c r="HCC207" s="199"/>
      <c r="HCD207" s="199"/>
      <c r="HCE207" s="199"/>
      <c r="HCF207" s="199"/>
      <c r="HCG207" s="199"/>
      <c r="HCH207" s="199"/>
      <c r="HCI207" s="199"/>
      <c r="HCJ207" s="199"/>
      <c r="HCK207" s="199"/>
      <c r="HCL207" s="199"/>
      <c r="HCM207" s="199"/>
      <c r="HCN207" s="199"/>
      <c r="HCO207" s="199"/>
      <c r="HCP207" s="199"/>
      <c r="HCQ207" s="199"/>
      <c r="HCR207" s="199"/>
      <c r="HCS207" s="199"/>
      <c r="HCT207" s="199"/>
      <c r="HCU207" s="199"/>
      <c r="HCV207" s="199"/>
      <c r="HCW207" s="199"/>
      <c r="HCX207" s="199"/>
      <c r="HCY207" s="199"/>
      <c r="HCZ207" s="199"/>
      <c r="HDA207" s="199"/>
      <c r="HDB207" s="199"/>
      <c r="HDC207" s="199"/>
      <c r="HDD207" s="199"/>
      <c r="HDE207" s="199"/>
      <c r="HDF207" s="199"/>
      <c r="HDG207" s="199"/>
      <c r="HDH207" s="199"/>
      <c r="HDI207" s="199"/>
      <c r="HDJ207" s="199"/>
      <c r="HDK207" s="199"/>
      <c r="HDL207" s="199"/>
      <c r="HDM207" s="199"/>
      <c r="HDN207" s="199"/>
      <c r="HDO207" s="199"/>
      <c r="HDP207" s="199"/>
      <c r="HDQ207" s="199"/>
      <c r="HDR207" s="199"/>
      <c r="HDS207" s="199"/>
      <c r="HDT207" s="199"/>
      <c r="HDU207" s="199"/>
      <c r="HDV207" s="199"/>
      <c r="HDW207" s="199"/>
      <c r="HDX207" s="199"/>
      <c r="HDY207" s="199"/>
      <c r="HDZ207" s="199"/>
      <c r="HEA207" s="199"/>
      <c r="HEB207" s="199"/>
      <c r="HEC207" s="199"/>
      <c r="HED207" s="199"/>
      <c r="HEE207" s="199"/>
      <c r="HEF207" s="199"/>
      <c r="HEG207" s="199"/>
      <c r="HEH207" s="199"/>
      <c r="HEI207" s="199"/>
      <c r="HEJ207" s="199"/>
      <c r="HEK207" s="199"/>
      <c r="HEL207" s="199"/>
      <c r="HEM207" s="199"/>
      <c r="HEN207" s="199"/>
      <c r="HEO207" s="199"/>
      <c r="HEP207" s="199"/>
      <c r="HEQ207" s="199"/>
      <c r="HER207" s="199"/>
      <c r="HES207" s="199"/>
      <c r="HET207" s="199"/>
      <c r="HEU207" s="199"/>
      <c r="HEV207" s="199"/>
      <c r="HEW207" s="199"/>
      <c r="HEX207" s="199"/>
      <c r="HEY207" s="199"/>
      <c r="HEZ207" s="199"/>
      <c r="HFA207" s="199"/>
      <c r="HFB207" s="199"/>
      <c r="HFC207" s="199"/>
      <c r="HFD207" s="199"/>
      <c r="HFE207" s="199"/>
      <c r="HFF207" s="199"/>
      <c r="HFG207" s="199"/>
      <c r="HFH207" s="199"/>
      <c r="HFI207" s="199"/>
      <c r="HFJ207" s="199"/>
      <c r="HFK207" s="199"/>
      <c r="HFL207" s="199"/>
      <c r="HFM207" s="199"/>
      <c r="HFN207" s="199"/>
      <c r="HFO207" s="199"/>
      <c r="HFP207" s="199"/>
      <c r="HFQ207" s="199"/>
      <c r="HFR207" s="199"/>
      <c r="HFS207" s="199"/>
      <c r="HFT207" s="199"/>
      <c r="HFU207" s="199"/>
      <c r="HFV207" s="199"/>
      <c r="HFW207" s="199"/>
      <c r="HFX207" s="199"/>
      <c r="HFY207" s="199"/>
      <c r="HFZ207" s="199"/>
      <c r="HGA207" s="199"/>
      <c r="HGB207" s="199"/>
      <c r="HGC207" s="199"/>
      <c r="HGD207" s="199"/>
      <c r="HGE207" s="199"/>
      <c r="HGF207" s="199"/>
      <c r="HGG207" s="199"/>
      <c r="HGH207" s="199"/>
      <c r="HGI207" s="199"/>
      <c r="HGJ207" s="199"/>
      <c r="HGK207" s="199"/>
      <c r="HGL207" s="199"/>
      <c r="HGM207" s="199"/>
      <c r="HGN207" s="199"/>
      <c r="HGO207" s="199"/>
      <c r="HGP207" s="199"/>
      <c r="HGQ207" s="199"/>
      <c r="HGR207" s="199"/>
      <c r="HGS207" s="199"/>
      <c r="HGT207" s="199"/>
      <c r="HGU207" s="199"/>
      <c r="HGV207" s="199"/>
      <c r="HGW207" s="199"/>
      <c r="HGX207" s="199"/>
      <c r="HGY207" s="199"/>
      <c r="HGZ207" s="199"/>
      <c r="HHA207" s="199"/>
      <c r="HHB207" s="199"/>
      <c r="HHC207" s="199"/>
      <c r="HHD207" s="199"/>
      <c r="HHE207" s="199"/>
      <c r="HHF207" s="199"/>
      <c r="HHG207" s="199"/>
      <c r="HHH207" s="199"/>
      <c r="HHI207" s="199"/>
      <c r="HHJ207" s="199"/>
      <c r="HHK207" s="199"/>
      <c r="HHL207" s="199"/>
      <c r="HHM207" s="199"/>
      <c r="HHN207" s="199"/>
      <c r="HHO207" s="199"/>
      <c r="HHP207" s="199"/>
      <c r="HHQ207" s="199"/>
      <c r="HHR207" s="199"/>
      <c r="HHS207" s="199"/>
      <c r="HHT207" s="199"/>
      <c r="HHU207" s="199"/>
      <c r="HHV207" s="199"/>
      <c r="HHW207" s="199"/>
      <c r="HHX207" s="199"/>
      <c r="HHY207" s="199"/>
      <c r="HHZ207" s="199"/>
      <c r="HIA207" s="199"/>
      <c r="HIB207" s="199"/>
      <c r="HIC207" s="199"/>
      <c r="HID207" s="199"/>
      <c r="HIE207" s="199"/>
      <c r="HIF207" s="199"/>
      <c r="HIG207" s="199"/>
      <c r="HIH207" s="199"/>
      <c r="HII207" s="199"/>
      <c r="HIJ207" s="199"/>
      <c r="HIK207" s="199"/>
      <c r="HIL207" s="199"/>
      <c r="HIM207" s="199"/>
      <c r="HIN207" s="199"/>
      <c r="HIO207" s="199"/>
      <c r="HIP207" s="199"/>
      <c r="HIQ207" s="199"/>
      <c r="HIR207" s="199"/>
      <c r="HIS207" s="199"/>
      <c r="HIT207" s="199"/>
      <c r="HIU207" s="199"/>
      <c r="HIV207" s="199"/>
      <c r="HIW207" s="199"/>
      <c r="HIX207" s="199"/>
      <c r="HIY207" s="199"/>
      <c r="HIZ207" s="199"/>
      <c r="HJA207" s="199"/>
      <c r="HJB207" s="199"/>
      <c r="HJC207" s="199"/>
      <c r="HJD207" s="199"/>
      <c r="HJE207" s="199"/>
      <c r="HJF207" s="199"/>
      <c r="HJG207" s="199"/>
      <c r="HJH207" s="199"/>
      <c r="HJI207" s="199"/>
      <c r="HJJ207" s="199"/>
      <c r="HJK207" s="199"/>
      <c r="HJL207" s="199"/>
      <c r="HJM207" s="199"/>
      <c r="HJN207" s="199"/>
      <c r="HJO207" s="199"/>
      <c r="HJP207" s="199"/>
      <c r="HJQ207" s="199"/>
      <c r="HJR207" s="199"/>
      <c r="HJS207" s="199"/>
      <c r="HJT207" s="199"/>
      <c r="HJU207" s="199"/>
      <c r="HJV207" s="199"/>
      <c r="HJW207" s="199"/>
      <c r="HJX207" s="199"/>
      <c r="HJY207" s="199"/>
      <c r="HJZ207" s="199"/>
      <c r="HKA207" s="199"/>
      <c r="HKB207" s="199"/>
      <c r="HKC207" s="199"/>
      <c r="HKD207" s="199"/>
      <c r="HKE207" s="199"/>
      <c r="HKF207" s="199"/>
      <c r="HKG207" s="199"/>
      <c r="HKH207" s="199"/>
      <c r="HKI207" s="199"/>
      <c r="HKJ207" s="199"/>
      <c r="HKK207" s="199"/>
      <c r="HKL207" s="199"/>
      <c r="HKM207" s="199"/>
      <c r="HKN207" s="199"/>
      <c r="HKO207" s="199"/>
      <c r="HKP207" s="199"/>
      <c r="HKQ207" s="199"/>
      <c r="HKR207" s="199"/>
      <c r="HKS207" s="199"/>
      <c r="HKT207" s="199"/>
      <c r="HKU207" s="199"/>
      <c r="HKV207" s="199"/>
      <c r="HKW207" s="199"/>
      <c r="HKX207" s="199"/>
      <c r="HKY207" s="199"/>
      <c r="HKZ207" s="199"/>
      <c r="HLA207" s="199"/>
      <c r="HLB207" s="199"/>
      <c r="HLC207" s="199"/>
      <c r="HLD207" s="199"/>
      <c r="HLE207" s="199"/>
      <c r="HLF207" s="199"/>
      <c r="HLG207" s="199"/>
      <c r="HLH207" s="199"/>
      <c r="HLI207" s="199"/>
      <c r="HLJ207" s="199"/>
      <c r="HLK207" s="199"/>
      <c r="HLL207" s="199"/>
      <c r="HLM207" s="199"/>
      <c r="HLN207" s="199"/>
      <c r="HLO207" s="199"/>
      <c r="HLP207" s="199"/>
      <c r="HLQ207" s="199"/>
      <c r="HLR207" s="199"/>
      <c r="HLS207" s="199"/>
      <c r="HLT207" s="199"/>
      <c r="HLU207" s="199"/>
      <c r="HLV207" s="199"/>
      <c r="HLW207" s="199"/>
      <c r="HLX207" s="199"/>
      <c r="HLY207" s="199"/>
      <c r="HLZ207" s="199"/>
      <c r="HMA207" s="199"/>
      <c r="HMB207" s="199"/>
      <c r="HMC207" s="199"/>
      <c r="HMD207" s="199"/>
      <c r="HME207" s="199"/>
      <c r="HMF207" s="199"/>
      <c r="HMG207" s="199"/>
      <c r="HMH207" s="199"/>
      <c r="HMI207" s="199"/>
      <c r="HMJ207" s="199"/>
      <c r="HMK207" s="199"/>
      <c r="HML207" s="199"/>
      <c r="HMM207" s="199"/>
      <c r="HMN207" s="199"/>
      <c r="HMO207" s="199"/>
      <c r="HMP207" s="199"/>
      <c r="HMQ207" s="199"/>
      <c r="HMR207" s="199"/>
      <c r="HMS207" s="199"/>
      <c r="HMT207" s="199"/>
      <c r="HMU207" s="199"/>
      <c r="HMV207" s="199"/>
      <c r="HMW207" s="199"/>
      <c r="HMX207" s="199"/>
      <c r="HMY207" s="199"/>
      <c r="HMZ207" s="199"/>
      <c r="HNA207" s="199"/>
      <c r="HNB207" s="199"/>
      <c r="HNC207" s="199"/>
      <c r="HND207" s="199"/>
      <c r="HNE207" s="199"/>
      <c r="HNF207" s="199"/>
      <c r="HNG207" s="199"/>
      <c r="HNH207" s="199"/>
      <c r="HNI207" s="199"/>
      <c r="HNJ207" s="199"/>
      <c r="HNK207" s="199"/>
      <c r="HNL207" s="199"/>
      <c r="HNM207" s="199"/>
      <c r="HNN207" s="199"/>
      <c r="HNO207" s="199"/>
      <c r="HNP207" s="199"/>
      <c r="HNQ207" s="199"/>
      <c r="HNR207" s="199"/>
      <c r="HNS207" s="199"/>
      <c r="HNT207" s="199"/>
      <c r="HNU207" s="199"/>
      <c r="HNV207" s="199"/>
      <c r="HNW207" s="199"/>
      <c r="HNX207" s="199"/>
      <c r="HNY207" s="199"/>
      <c r="HNZ207" s="199"/>
      <c r="HOA207" s="199"/>
      <c r="HOB207" s="199"/>
      <c r="HOC207" s="199"/>
      <c r="HOD207" s="199"/>
      <c r="HOE207" s="199"/>
      <c r="HOF207" s="199"/>
      <c r="HOG207" s="199"/>
      <c r="HOH207" s="199"/>
      <c r="HOI207" s="199"/>
      <c r="HOJ207" s="199"/>
      <c r="HOK207" s="199"/>
      <c r="HOL207" s="199"/>
      <c r="HOM207" s="199"/>
      <c r="HON207" s="199"/>
      <c r="HOO207" s="199"/>
      <c r="HOP207" s="199"/>
      <c r="HOQ207" s="199"/>
      <c r="HOR207" s="199"/>
      <c r="HOS207" s="199"/>
      <c r="HOT207" s="199"/>
      <c r="HOU207" s="199"/>
      <c r="HOV207" s="199"/>
      <c r="HOW207" s="199"/>
      <c r="HOX207" s="199"/>
      <c r="HOY207" s="199"/>
      <c r="HOZ207" s="199"/>
      <c r="HPA207" s="199"/>
      <c r="HPB207" s="199"/>
      <c r="HPC207" s="199"/>
      <c r="HPD207" s="199"/>
      <c r="HPE207" s="199"/>
      <c r="HPF207" s="199"/>
      <c r="HPG207" s="199"/>
      <c r="HPH207" s="199"/>
      <c r="HPI207" s="199"/>
      <c r="HPJ207" s="199"/>
      <c r="HPK207" s="199"/>
      <c r="HPL207" s="199"/>
      <c r="HPM207" s="199"/>
      <c r="HPN207" s="199"/>
      <c r="HPO207" s="199"/>
      <c r="HPP207" s="199"/>
      <c r="HPQ207" s="199"/>
      <c r="HPR207" s="199"/>
      <c r="HPS207" s="199"/>
      <c r="HPT207" s="199"/>
      <c r="HPU207" s="199"/>
      <c r="HPV207" s="199"/>
      <c r="HPW207" s="199"/>
      <c r="HPX207" s="199"/>
      <c r="HPY207" s="199"/>
      <c r="HPZ207" s="199"/>
      <c r="HQA207" s="199"/>
      <c r="HQB207" s="199"/>
      <c r="HQC207" s="199"/>
      <c r="HQD207" s="199"/>
      <c r="HQE207" s="199"/>
      <c r="HQF207" s="199"/>
      <c r="HQG207" s="199"/>
      <c r="HQH207" s="199"/>
      <c r="HQI207" s="199"/>
      <c r="HQJ207" s="199"/>
      <c r="HQK207" s="199"/>
      <c r="HQL207" s="199"/>
      <c r="HQM207" s="199"/>
      <c r="HQN207" s="199"/>
      <c r="HQO207" s="199"/>
      <c r="HQP207" s="199"/>
      <c r="HQQ207" s="199"/>
      <c r="HQR207" s="199"/>
      <c r="HQS207" s="199"/>
      <c r="HQT207" s="199"/>
      <c r="HQU207" s="199"/>
      <c r="HQV207" s="199"/>
      <c r="HQW207" s="199"/>
      <c r="HQX207" s="199"/>
      <c r="HQY207" s="199"/>
      <c r="HQZ207" s="199"/>
      <c r="HRA207" s="199"/>
      <c r="HRB207" s="199"/>
      <c r="HRC207" s="199"/>
      <c r="HRD207" s="199"/>
      <c r="HRE207" s="199"/>
      <c r="HRF207" s="199"/>
      <c r="HRG207" s="199"/>
      <c r="HRH207" s="199"/>
      <c r="HRI207" s="199"/>
      <c r="HRJ207" s="199"/>
      <c r="HRK207" s="199"/>
      <c r="HRL207" s="199"/>
      <c r="HRM207" s="199"/>
      <c r="HRN207" s="199"/>
      <c r="HRO207" s="199"/>
      <c r="HRP207" s="199"/>
      <c r="HRQ207" s="199"/>
      <c r="HRR207" s="199"/>
      <c r="HRS207" s="199"/>
      <c r="HRT207" s="199"/>
      <c r="HRU207" s="199"/>
      <c r="HRV207" s="199"/>
      <c r="HRW207" s="199"/>
      <c r="HRX207" s="199"/>
      <c r="HRY207" s="199"/>
      <c r="HRZ207" s="199"/>
      <c r="HSA207" s="199"/>
      <c r="HSB207" s="199"/>
      <c r="HSC207" s="199"/>
      <c r="HSD207" s="199"/>
      <c r="HSE207" s="199"/>
      <c r="HSF207" s="199"/>
      <c r="HSG207" s="199"/>
      <c r="HSH207" s="199"/>
      <c r="HSI207" s="199"/>
      <c r="HSJ207" s="199"/>
      <c r="HSK207" s="199"/>
      <c r="HSL207" s="199"/>
      <c r="HSM207" s="199"/>
      <c r="HSN207" s="199"/>
      <c r="HSO207" s="199"/>
      <c r="HSP207" s="199"/>
      <c r="HSQ207" s="199"/>
      <c r="HSR207" s="199"/>
      <c r="HSS207" s="199"/>
      <c r="HST207" s="199"/>
      <c r="HSU207" s="199"/>
      <c r="HSV207" s="199"/>
      <c r="HSW207" s="199"/>
      <c r="HSX207" s="199"/>
      <c r="HSY207" s="199"/>
      <c r="HSZ207" s="199"/>
      <c r="HTA207" s="199"/>
      <c r="HTB207" s="199"/>
      <c r="HTC207" s="199"/>
      <c r="HTD207" s="199"/>
      <c r="HTE207" s="199"/>
      <c r="HTF207" s="199"/>
      <c r="HTG207" s="199"/>
      <c r="HTH207" s="199"/>
      <c r="HTI207" s="199"/>
      <c r="HTJ207" s="199"/>
      <c r="HTK207" s="199"/>
      <c r="HTL207" s="199"/>
      <c r="HTM207" s="199"/>
      <c r="HTN207" s="199"/>
      <c r="HTO207" s="199"/>
      <c r="HTP207" s="199"/>
      <c r="HTQ207" s="199"/>
      <c r="HTR207" s="199"/>
      <c r="HTS207" s="199"/>
      <c r="HTT207" s="199"/>
      <c r="HTU207" s="199"/>
      <c r="HTV207" s="199"/>
      <c r="HTW207" s="199"/>
      <c r="HTX207" s="199"/>
      <c r="HTY207" s="199"/>
      <c r="HTZ207" s="199"/>
      <c r="HUA207" s="199"/>
      <c r="HUB207" s="199"/>
      <c r="HUC207" s="199"/>
      <c r="HUD207" s="199"/>
      <c r="HUE207" s="199"/>
      <c r="HUF207" s="199"/>
      <c r="HUG207" s="199"/>
      <c r="HUH207" s="199"/>
      <c r="HUI207" s="199"/>
      <c r="HUJ207" s="199"/>
      <c r="HUK207" s="199"/>
      <c r="HUL207" s="199"/>
      <c r="HUM207" s="199"/>
      <c r="HUN207" s="199"/>
      <c r="HUO207" s="199"/>
      <c r="HUP207" s="199"/>
      <c r="HUQ207" s="199"/>
      <c r="HUR207" s="199"/>
      <c r="HUS207" s="199"/>
      <c r="HUT207" s="199"/>
      <c r="HUU207" s="199"/>
      <c r="HUV207" s="199"/>
      <c r="HUW207" s="199"/>
      <c r="HUX207" s="199"/>
      <c r="HUY207" s="199"/>
      <c r="HUZ207" s="199"/>
      <c r="HVA207" s="199"/>
      <c r="HVB207" s="199"/>
      <c r="HVC207" s="199"/>
      <c r="HVD207" s="199"/>
      <c r="HVE207" s="199"/>
      <c r="HVF207" s="199"/>
      <c r="HVG207" s="199"/>
      <c r="HVH207" s="199"/>
      <c r="HVI207" s="199"/>
      <c r="HVJ207" s="199"/>
      <c r="HVK207" s="199"/>
      <c r="HVL207" s="199"/>
      <c r="HVM207" s="199"/>
      <c r="HVN207" s="199"/>
      <c r="HVO207" s="199"/>
      <c r="HVP207" s="199"/>
      <c r="HVQ207" s="199"/>
      <c r="HVR207" s="199"/>
      <c r="HVS207" s="199"/>
      <c r="HVT207" s="199"/>
      <c r="HVU207" s="199"/>
      <c r="HVV207" s="199"/>
      <c r="HVW207" s="199"/>
      <c r="HVX207" s="199"/>
      <c r="HVY207" s="199"/>
      <c r="HVZ207" s="199"/>
      <c r="HWA207" s="199"/>
      <c r="HWB207" s="199"/>
      <c r="HWC207" s="199"/>
      <c r="HWD207" s="199"/>
      <c r="HWE207" s="199"/>
      <c r="HWF207" s="199"/>
      <c r="HWG207" s="199"/>
      <c r="HWH207" s="199"/>
      <c r="HWI207" s="199"/>
      <c r="HWJ207" s="199"/>
      <c r="HWK207" s="199"/>
      <c r="HWL207" s="199"/>
      <c r="HWM207" s="199"/>
      <c r="HWN207" s="199"/>
      <c r="HWO207" s="199"/>
      <c r="HWP207" s="199"/>
      <c r="HWQ207" s="199"/>
      <c r="HWR207" s="199"/>
      <c r="HWS207" s="199"/>
      <c r="HWT207" s="199"/>
      <c r="HWU207" s="199"/>
      <c r="HWV207" s="199"/>
      <c r="HWW207" s="199"/>
      <c r="HWX207" s="199"/>
      <c r="HWY207" s="199"/>
      <c r="HWZ207" s="199"/>
      <c r="HXA207" s="199"/>
      <c r="HXB207" s="199"/>
      <c r="HXC207" s="199"/>
      <c r="HXD207" s="199"/>
      <c r="HXE207" s="199"/>
      <c r="HXF207" s="199"/>
      <c r="HXG207" s="199"/>
      <c r="HXH207" s="199"/>
      <c r="HXI207" s="199"/>
      <c r="HXJ207" s="199"/>
      <c r="HXK207" s="199"/>
      <c r="HXL207" s="199"/>
      <c r="HXM207" s="199"/>
      <c r="HXN207" s="199"/>
      <c r="HXO207" s="199"/>
      <c r="HXP207" s="199"/>
      <c r="HXQ207" s="199"/>
      <c r="HXR207" s="199"/>
      <c r="HXS207" s="199"/>
      <c r="HXT207" s="199"/>
      <c r="HXU207" s="199"/>
      <c r="HXV207" s="199"/>
      <c r="HXW207" s="199"/>
      <c r="HXX207" s="199"/>
      <c r="HXY207" s="199"/>
      <c r="HXZ207" s="199"/>
      <c r="HYA207" s="199"/>
      <c r="HYB207" s="199"/>
      <c r="HYC207" s="199"/>
      <c r="HYD207" s="199"/>
      <c r="HYE207" s="199"/>
      <c r="HYF207" s="199"/>
      <c r="HYG207" s="199"/>
      <c r="HYH207" s="199"/>
      <c r="HYI207" s="199"/>
      <c r="HYJ207" s="199"/>
      <c r="HYK207" s="199"/>
      <c r="HYL207" s="199"/>
      <c r="HYM207" s="199"/>
      <c r="HYN207" s="199"/>
      <c r="HYO207" s="199"/>
      <c r="HYP207" s="199"/>
      <c r="HYQ207" s="199"/>
      <c r="HYR207" s="199"/>
      <c r="HYS207" s="199"/>
      <c r="HYT207" s="199"/>
      <c r="HYU207" s="199"/>
      <c r="HYV207" s="199"/>
      <c r="HYW207" s="199"/>
      <c r="HYX207" s="199"/>
      <c r="HYY207" s="199"/>
      <c r="HYZ207" s="199"/>
      <c r="HZA207" s="199"/>
      <c r="HZB207" s="199"/>
      <c r="HZC207" s="199"/>
      <c r="HZD207" s="199"/>
      <c r="HZE207" s="199"/>
      <c r="HZF207" s="199"/>
      <c r="HZG207" s="199"/>
      <c r="HZH207" s="199"/>
      <c r="HZI207" s="199"/>
      <c r="HZJ207" s="199"/>
      <c r="HZK207" s="199"/>
      <c r="HZL207" s="199"/>
      <c r="HZM207" s="199"/>
      <c r="HZN207" s="199"/>
      <c r="HZO207" s="199"/>
      <c r="HZP207" s="199"/>
      <c r="HZQ207" s="199"/>
      <c r="HZR207" s="199"/>
      <c r="HZS207" s="199"/>
      <c r="HZT207" s="199"/>
      <c r="HZU207" s="199"/>
      <c r="HZV207" s="199"/>
      <c r="HZW207" s="199"/>
      <c r="HZX207" s="199"/>
      <c r="HZY207" s="199"/>
      <c r="HZZ207" s="199"/>
      <c r="IAA207" s="199"/>
      <c r="IAB207" s="199"/>
      <c r="IAC207" s="199"/>
      <c r="IAD207" s="199"/>
      <c r="IAE207" s="199"/>
      <c r="IAF207" s="199"/>
      <c r="IAG207" s="199"/>
      <c r="IAH207" s="199"/>
      <c r="IAI207" s="199"/>
      <c r="IAJ207" s="199"/>
      <c r="IAK207" s="199"/>
      <c r="IAL207" s="199"/>
      <c r="IAM207" s="199"/>
      <c r="IAN207" s="199"/>
      <c r="IAO207" s="199"/>
      <c r="IAP207" s="199"/>
      <c r="IAQ207" s="199"/>
      <c r="IAR207" s="199"/>
      <c r="IAS207" s="199"/>
      <c r="IAT207" s="199"/>
      <c r="IAU207" s="199"/>
      <c r="IAV207" s="199"/>
      <c r="IAW207" s="199"/>
      <c r="IAX207" s="199"/>
      <c r="IAY207" s="199"/>
      <c r="IAZ207" s="199"/>
      <c r="IBA207" s="199"/>
      <c r="IBB207" s="199"/>
      <c r="IBC207" s="199"/>
      <c r="IBD207" s="199"/>
      <c r="IBE207" s="199"/>
      <c r="IBF207" s="199"/>
      <c r="IBG207" s="199"/>
      <c r="IBH207" s="199"/>
      <c r="IBI207" s="199"/>
      <c r="IBJ207" s="199"/>
      <c r="IBK207" s="199"/>
      <c r="IBL207" s="199"/>
      <c r="IBM207" s="199"/>
      <c r="IBN207" s="199"/>
      <c r="IBO207" s="199"/>
      <c r="IBP207" s="199"/>
      <c r="IBQ207" s="199"/>
      <c r="IBR207" s="199"/>
      <c r="IBS207" s="199"/>
      <c r="IBT207" s="199"/>
      <c r="IBU207" s="199"/>
      <c r="IBV207" s="199"/>
      <c r="IBW207" s="199"/>
      <c r="IBX207" s="199"/>
      <c r="IBY207" s="199"/>
      <c r="IBZ207" s="199"/>
      <c r="ICA207" s="199"/>
      <c r="ICB207" s="199"/>
      <c r="ICC207" s="199"/>
      <c r="ICD207" s="199"/>
      <c r="ICE207" s="199"/>
      <c r="ICF207" s="199"/>
      <c r="ICG207" s="199"/>
      <c r="ICH207" s="199"/>
      <c r="ICI207" s="199"/>
      <c r="ICJ207" s="199"/>
      <c r="ICK207" s="199"/>
      <c r="ICL207" s="199"/>
      <c r="ICM207" s="199"/>
      <c r="ICN207" s="199"/>
      <c r="ICO207" s="199"/>
      <c r="ICP207" s="199"/>
      <c r="ICQ207" s="199"/>
      <c r="ICR207" s="199"/>
      <c r="ICS207" s="199"/>
      <c r="ICT207" s="199"/>
      <c r="ICU207" s="199"/>
      <c r="ICV207" s="199"/>
      <c r="ICW207" s="199"/>
      <c r="ICX207" s="199"/>
      <c r="ICY207" s="199"/>
      <c r="ICZ207" s="199"/>
      <c r="IDA207" s="199"/>
      <c r="IDB207" s="199"/>
      <c r="IDC207" s="199"/>
      <c r="IDD207" s="199"/>
      <c r="IDE207" s="199"/>
      <c r="IDF207" s="199"/>
      <c r="IDG207" s="199"/>
      <c r="IDH207" s="199"/>
      <c r="IDI207" s="199"/>
      <c r="IDJ207" s="199"/>
      <c r="IDK207" s="199"/>
      <c r="IDL207" s="199"/>
      <c r="IDM207" s="199"/>
      <c r="IDN207" s="199"/>
      <c r="IDO207" s="199"/>
      <c r="IDP207" s="199"/>
      <c r="IDQ207" s="199"/>
      <c r="IDR207" s="199"/>
      <c r="IDS207" s="199"/>
      <c r="IDT207" s="199"/>
      <c r="IDU207" s="199"/>
      <c r="IDV207" s="199"/>
      <c r="IDW207" s="199"/>
      <c r="IDX207" s="199"/>
      <c r="IDY207" s="199"/>
      <c r="IDZ207" s="199"/>
      <c r="IEA207" s="199"/>
      <c r="IEB207" s="199"/>
      <c r="IEC207" s="199"/>
      <c r="IED207" s="199"/>
      <c r="IEE207" s="199"/>
      <c r="IEF207" s="199"/>
      <c r="IEG207" s="199"/>
      <c r="IEH207" s="199"/>
      <c r="IEI207" s="199"/>
      <c r="IEJ207" s="199"/>
      <c r="IEK207" s="199"/>
      <c r="IEL207" s="199"/>
      <c r="IEM207" s="199"/>
      <c r="IEN207" s="199"/>
      <c r="IEO207" s="199"/>
      <c r="IEP207" s="199"/>
      <c r="IEQ207" s="199"/>
      <c r="IER207" s="199"/>
      <c r="IES207" s="199"/>
      <c r="IET207" s="199"/>
      <c r="IEU207" s="199"/>
      <c r="IEV207" s="199"/>
      <c r="IEW207" s="199"/>
      <c r="IEX207" s="199"/>
      <c r="IEY207" s="199"/>
      <c r="IEZ207" s="199"/>
      <c r="IFA207" s="199"/>
      <c r="IFB207" s="199"/>
      <c r="IFC207" s="199"/>
      <c r="IFD207" s="199"/>
      <c r="IFE207" s="199"/>
      <c r="IFF207" s="199"/>
      <c r="IFG207" s="199"/>
      <c r="IFH207" s="199"/>
      <c r="IFI207" s="199"/>
      <c r="IFJ207" s="199"/>
      <c r="IFK207" s="199"/>
      <c r="IFL207" s="199"/>
      <c r="IFM207" s="199"/>
      <c r="IFN207" s="199"/>
      <c r="IFO207" s="199"/>
      <c r="IFP207" s="199"/>
      <c r="IFQ207" s="199"/>
      <c r="IFR207" s="199"/>
      <c r="IFS207" s="199"/>
      <c r="IFT207" s="199"/>
      <c r="IFU207" s="199"/>
      <c r="IFV207" s="199"/>
      <c r="IFW207" s="199"/>
      <c r="IFX207" s="199"/>
      <c r="IFY207" s="199"/>
      <c r="IFZ207" s="199"/>
      <c r="IGA207" s="199"/>
      <c r="IGB207" s="199"/>
      <c r="IGC207" s="199"/>
      <c r="IGD207" s="199"/>
      <c r="IGE207" s="199"/>
      <c r="IGF207" s="199"/>
      <c r="IGG207" s="199"/>
      <c r="IGH207" s="199"/>
      <c r="IGI207" s="199"/>
      <c r="IGJ207" s="199"/>
      <c r="IGK207" s="199"/>
      <c r="IGL207" s="199"/>
      <c r="IGM207" s="199"/>
      <c r="IGN207" s="199"/>
      <c r="IGO207" s="199"/>
      <c r="IGP207" s="199"/>
      <c r="IGQ207" s="199"/>
      <c r="IGR207" s="199"/>
      <c r="IGS207" s="199"/>
      <c r="IGT207" s="199"/>
      <c r="IGU207" s="199"/>
      <c r="IGV207" s="199"/>
      <c r="IGW207" s="199"/>
      <c r="IGX207" s="199"/>
      <c r="IGY207" s="199"/>
      <c r="IGZ207" s="199"/>
      <c r="IHA207" s="199"/>
      <c r="IHB207" s="199"/>
      <c r="IHC207" s="199"/>
      <c r="IHD207" s="199"/>
      <c r="IHE207" s="199"/>
      <c r="IHF207" s="199"/>
      <c r="IHG207" s="199"/>
      <c r="IHH207" s="199"/>
      <c r="IHI207" s="199"/>
      <c r="IHJ207" s="199"/>
      <c r="IHK207" s="199"/>
      <c r="IHL207" s="199"/>
      <c r="IHM207" s="199"/>
      <c r="IHN207" s="199"/>
      <c r="IHO207" s="199"/>
      <c r="IHP207" s="199"/>
      <c r="IHQ207" s="199"/>
      <c r="IHR207" s="199"/>
      <c r="IHS207" s="199"/>
      <c r="IHT207" s="199"/>
      <c r="IHU207" s="199"/>
      <c r="IHV207" s="199"/>
      <c r="IHW207" s="199"/>
      <c r="IHX207" s="199"/>
      <c r="IHY207" s="199"/>
      <c r="IHZ207" s="199"/>
      <c r="IIA207" s="199"/>
      <c r="IIB207" s="199"/>
      <c r="IIC207" s="199"/>
      <c r="IID207" s="199"/>
      <c r="IIE207" s="199"/>
      <c r="IIF207" s="199"/>
      <c r="IIG207" s="199"/>
      <c r="IIH207" s="199"/>
      <c r="III207" s="199"/>
      <c r="IIJ207" s="199"/>
      <c r="IIK207" s="199"/>
      <c r="IIL207" s="199"/>
      <c r="IIM207" s="199"/>
      <c r="IIN207" s="199"/>
      <c r="IIO207" s="199"/>
      <c r="IIP207" s="199"/>
      <c r="IIQ207" s="199"/>
      <c r="IIR207" s="199"/>
      <c r="IIS207" s="199"/>
      <c r="IIT207" s="199"/>
      <c r="IIU207" s="199"/>
      <c r="IIV207" s="199"/>
      <c r="IIW207" s="199"/>
      <c r="IIX207" s="199"/>
      <c r="IIY207" s="199"/>
      <c r="IIZ207" s="199"/>
      <c r="IJA207" s="199"/>
      <c r="IJB207" s="199"/>
      <c r="IJC207" s="199"/>
      <c r="IJD207" s="199"/>
      <c r="IJE207" s="199"/>
      <c r="IJF207" s="199"/>
      <c r="IJG207" s="199"/>
      <c r="IJH207" s="199"/>
      <c r="IJI207" s="199"/>
      <c r="IJJ207" s="199"/>
      <c r="IJK207" s="199"/>
      <c r="IJL207" s="199"/>
      <c r="IJM207" s="199"/>
      <c r="IJN207" s="199"/>
      <c r="IJO207" s="199"/>
      <c r="IJP207" s="199"/>
      <c r="IJQ207" s="199"/>
      <c r="IJR207" s="199"/>
      <c r="IJS207" s="199"/>
      <c r="IJT207" s="199"/>
      <c r="IJU207" s="199"/>
      <c r="IJV207" s="199"/>
      <c r="IJW207" s="199"/>
      <c r="IJX207" s="199"/>
      <c r="IJY207" s="199"/>
      <c r="IJZ207" s="199"/>
      <c r="IKA207" s="199"/>
      <c r="IKB207" s="199"/>
      <c r="IKC207" s="199"/>
      <c r="IKD207" s="199"/>
      <c r="IKE207" s="199"/>
      <c r="IKF207" s="199"/>
      <c r="IKG207" s="199"/>
      <c r="IKH207" s="199"/>
      <c r="IKI207" s="199"/>
      <c r="IKJ207" s="199"/>
      <c r="IKK207" s="199"/>
      <c r="IKL207" s="199"/>
      <c r="IKM207" s="199"/>
      <c r="IKN207" s="199"/>
      <c r="IKO207" s="199"/>
      <c r="IKP207" s="199"/>
      <c r="IKQ207" s="199"/>
      <c r="IKR207" s="199"/>
      <c r="IKS207" s="199"/>
      <c r="IKT207" s="199"/>
      <c r="IKU207" s="199"/>
      <c r="IKV207" s="199"/>
      <c r="IKW207" s="199"/>
      <c r="IKX207" s="199"/>
      <c r="IKY207" s="199"/>
      <c r="IKZ207" s="199"/>
      <c r="ILA207" s="199"/>
      <c r="ILB207" s="199"/>
      <c r="ILC207" s="199"/>
      <c r="ILD207" s="199"/>
      <c r="ILE207" s="199"/>
      <c r="ILF207" s="199"/>
      <c r="ILG207" s="199"/>
      <c r="ILH207" s="199"/>
      <c r="ILI207" s="199"/>
      <c r="ILJ207" s="199"/>
      <c r="ILK207" s="199"/>
      <c r="ILL207" s="199"/>
      <c r="ILM207" s="199"/>
      <c r="ILN207" s="199"/>
      <c r="ILO207" s="199"/>
      <c r="ILP207" s="199"/>
      <c r="ILQ207" s="199"/>
      <c r="ILR207" s="199"/>
      <c r="ILS207" s="199"/>
      <c r="ILT207" s="199"/>
      <c r="ILU207" s="199"/>
      <c r="ILV207" s="199"/>
      <c r="ILW207" s="199"/>
      <c r="ILX207" s="199"/>
      <c r="ILY207" s="199"/>
      <c r="ILZ207" s="199"/>
      <c r="IMA207" s="199"/>
      <c r="IMB207" s="199"/>
      <c r="IMC207" s="199"/>
      <c r="IMD207" s="199"/>
      <c r="IME207" s="199"/>
      <c r="IMF207" s="199"/>
      <c r="IMG207" s="199"/>
      <c r="IMH207" s="199"/>
      <c r="IMI207" s="199"/>
      <c r="IMJ207" s="199"/>
      <c r="IMK207" s="199"/>
      <c r="IML207" s="199"/>
      <c r="IMM207" s="199"/>
      <c r="IMN207" s="199"/>
      <c r="IMO207" s="199"/>
      <c r="IMP207" s="199"/>
      <c r="IMQ207" s="199"/>
      <c r="IMR207" s="199"/>
      <c r="IMS207" s="199"/>
      <c r="IMT207" s="199"/>
      <c r="IMU207" s="199"/>
      <c r="IMV207" s="199"/>
      <c r="IMW207" s="199"/>
      <c r="IMX207" s="199"/>
      <c r="IMY207" s="199"/>
      <c r="IMZ207" s="199"/>
      <c r="INA207" s="199"/>
      <c r="INB207" s="199"/>
      <c r="INC207" s="199"/>
      <c r="IND207" s="199"/>
      <c r="INE207" s="199"/>
      <c r="INF207" s="199"/>
      <c r="ING207" s="199"/>
      <c r="INH207" s="199"/>
      <c r="INI207" s="199"/>
      <c r="INJ207" s="199"/>
      <c r="INK207" s="199"/>
      <c r="INL207" s="199"/>
      <c r="INM207" s="199"/>
      <c r="INN207" s="199"/>
      <c r="INO207" s="199"/>
      <c r="INP207" s="199"/>
      <c r="INQ207" s="199"/>
      <c r="INR207" s="199"/>
      <c r="INS207" s="199"/>
      <c r="INT207" s="199"/>
      <c r="INU207" s="199"/>
      <c r="INV207" s="199"/>
      <c r="INW207" s="199"/>
      <c r="INX207" s="199"/>
      <c r="INY207" s="199"/>
      <c r="INZ207" s="199"/>
      <c r="IOA207" s="199"/>
      <c r="IOB207" s="199"/>
      <c r="IOC207" s="199"/>
      <c r="IOD207" s="199"/>
      <c r="IOE207" s="199"/>
      <c r="IOF207" s="199"/>
      <c r="IOG207" s="199"/>
      <c r="IOH207" s="199"/>
      <c r="IOI207" s="199"/>
      <c r="IOJ207" s="199"/>
      <c r="IOK207" s="199"/>
      <c r="IOL207" s="199"/>
      <c r="IOM207" s="199"/>
      <c r="ION207" s="199"/>
      <c r="IOO207" s="199"/>
      <c r="IOP207" s="199"/>
      <c r="IOQ207" s="199"/>
      <c r="IOR207" s="199"/>
      <c r="IOS207" s="199"/>
      <c r="IOT207" s="199"/>
      <c r="IOU207" s="199"/>
      <c r="IOV207" s="199"/>
      <c r="IOW207" s="199"/>
      <c r="IOX207" s="199"/>
      <c r="IOY207" s="199"/>
      <c r="IOZ207" s="199"/>
      <c r="IPA207" s="199"/>
      <c r="IPB207" s="199"/>
      <c r="IPC207" s="199"/>
      <c r="IPD207" s="199"/>
      <c r="IPE207" s="199"/>
      <c r="IPF207" s="199"/>
      <c r="IPG207" s="199"/>
      <c r="IPH207" s="199"/>
      <c r="IPI207" s="199"/>
      <c r="IPJ207" s="199"/>
      <c r="IPK207" s="199"/>
      <c r="IPL207" s="199"/>
      <c r="IPM207" s="199"/>
      <c r="IPN207" s="199"/>
      <c r="IPO207" s="199"/>
      <c r="IPP207" s="199"/>
      <c r="IPQ207" s="199"/>
      <c r="IPR207" s="199"/>
      <c r="IPS207" s="199"/>
      <c r="IPT207" s="199"/>
      <c r="IPU207" s="199"/>
      <c r="IPV207" s="199"/>
      <c r="IPW207" s="199"/>
      <c r="IPX207" s="199"/>
      <c r="IPY207" s="199"/>
      <c r="IPZ207" s="199"/>
      <c r="IQA207" s="199"/>
      <c r="IQB207" s="199"/>
      <c r="IQC207" s="199"/>
      <c r="IQD207" s="199"/>
      <c r="IQE207" s="199"/>
      <c r="IQF207" s="199"/>
      <c r="IQG207" s="199"/>
      <c r="IQH207" s="199"/>
      <c r="IQI207" s="199"/>
      <c r="IQJ207" s="199"/>
      <c r="IQK207" s="199"/>
      <c r="IQL207" s="199"/>
      <c r="IQM207" s="199"/>
      <c r="IQN207" s="199"/>
      <c r="IQO207" s="199"/>
      <c r="IQP207" s="199"/>
      <c r="IQQ207" s="199"/>
      <c r="IQR207" s="199"/>
      <c r="IQS207" s="199"/>
      <c r="IQT207" s="199"/>
      <c r="IQU207" s="199"/>
      <c r="IQV207" s="199"/>
      <c r="IQW207" s="199"/>
      <c r="IQX207" s="199"/>
      <c r="IQY207" s="199"/>
      <c r="IQZ207" s="199"/>
      <c r="IRA207" s="199"/>
      <c r="IRB207" s="199"/>
      <c r="IRC207" s="199"/>
      <c r="IRD207" s="199"/>
      <c r="IRE207" s="199"/>
      <c r="IRF207" s="199"/>
      <c r="IRG207" s="199"/>
      <c r="IRH207" s="199"/>
      <c r="IRI207" s="199"/>
      <c r="IRJ207" s="199"/>
      <c r="IRK207" s="199"/>
      <c r="IRL207" s="199"/>
      <c r="IRM207" s="199"/>
      <c r="IRN207" s="199"/>
      <c r="IRO207" s="199"/>
      <c r="IRP207" s="199"/>
      <c r="IRQ207" s="199"/>
      <c r="IRR207" s="199"/>
      <c r="IRS207" s="199"/>
      <c r="IRT207" s="199"/>
      <c r="IRU207" s="199"/>
      <c r="IRV207" s="199"/>
      <c r="IRW207" s="199"/>
      <c r="IRX207" s="199"/>
      <c r="IRY207" s="199"/>
      <c r="IRZ207" s="199"/>
      <c r="ISA207" s="199"/>
      <c r="ISB207" s="199"/>
      <c r="ISC207" s="199"/>
      <c r="ISD207" s="199"/>
      <c r="ISE207" s="199"/>
      <c r="ISF207" s="199"/>
      <c r="ISG207" s="199"/>
      <c r="ISH207" s="199"/>
      <c r="ISI207" s="199"/>
      <c r="ISJ207" s="199"/>
      <c r="ISK207" s="199"/>
      <c r="ISL207" s="199"/>
      <c r="ISM207" s="199"/>
      <c r="ISN207" s="199"/>
      <c r="ISO207" s="199"/>
      <c r="ISP207" s="199"/>
      <c r="ISQ207" s="199"/>
      <c r="ISR207" s="199"/>
      <c r="ISS207" s="199"/>
      <c r="IST207" s="199"/>
      <c r="ISU207" s="199"/>
      <c r="ISV207" s="199"/>
      <c r="ISW207" s="199"/>
      <c r="ISX207" s="199"/>
      <c r="ISY207" s="199"/>
      <c r="ISZ207" s="199"/>
      <c r="ITA207" s="199"/>
      <c r="ITB207" s="199"/>
      <c r="ITC207" s="199"/>
      <c r="ITD207" s="199"/>
      <c r="ITE207" s="199"/>
      <c r="ITF207" s="199"/>
      <c r="ITG207" s="199"/>
      <c r="ITH207" s="199"/>
      <c r="ITI207" s="199"/>
      <c r="ITJ207" s="199"/>
      <c r="ITK207" s="199"/>
      <c r="ITL207" s="199"/>
      <c r="ITM207" s="199"/>
      <c r="ITN207" s="199"/>
      <c r="ITO207" s="199"/>
      <c r="ITP207" s="199"/>
      <c r="ITQ207" s="199"/>
      <c r="ITR207" s="199"/>
      <c r="ITS207" s="199"/>
      <c r="ITT207" s="199"/>
      <c r="ITU207" s="199"/>
      <c r="ITV207" s="199"/>
      <c r="ITW207" s="199"/>
      <c r="ITX207" s="199"/>
      <c r="ITY207" s="199"/>
      <c r="ITZ207" s="199"/>
      <c r="IUA207" s="199"/>
      <c r="IUB207" s="199"/>
      <c r="IUC207" s="199"/>
      <c r="IUD207" s="199"/>
      <c r="IUE207" s="199"/>
      <c r="IUF207" s="199"/>
      <c r="IUG207" s="199"/>
      <c r="IUH207" s="199"/>
      <c r="IUI207" s="199"/>
      <c r="IUJ207" s="199"/>
      <c r="IUK207" s="199"/>
      <c r="IUL207" s="199"/>
      <c r="IUM207" s="199"/>
      <c r="IUN207" s="199"/>
      <c r="IUO207" s="199"/>
      <c r="IUP207" s="199"/>
      <c r="IUQ207" s="199"/>
      <c r="IUR207" s="199"/>
      <c r="IUS207" s="199"/>
      <c r="IUT207" s="199"/>
      <c r="IUU207" s="199"/>
      <c r="IUV207" s="199"/>
      <c r="IUW207" s="199"/>
      <c r="IUX207" s="199"/>
      <c r="IUY207" s="199"/>
      <c r="IUZ207" s="199"/>
      <c r="IVA207" s="199"/>
      <c r="IVB207" s="199"/>
      <c r="IVC207" s="199"/>
      <c r="IVD207" s="199"/>
      <c r="IVE207" s="199"/>
      <c r="IVF207" s="199"/>
      <c r="IVG207" s="199"/>
      <c r="IVH207" s="199"/>
      <c r="IVI207" s="199"/>
      <c r="IVJ207" s="199"/>
      <c r="IVK207" s="199"/>
      <c r="IVL207" s="199"/>
      <c r="IVM207" s="199"/>
      <c r="IVN207" s="199"/>
      <c r="IVO207" s="199"/>
      <c r="IVP207" s="199"/>
      <c r="IVQ207" s="199"/>
      <c r="IVR207" s="199"/>
      <c r="IVS207" s="199"/>
      <c r="IVT207" s="199"/>
      <c r="IVU207" s="199"/>
      <c r="IVV207" s="199"/>
      <c r="IVW207" s="199"/>
      <c r="IVX207" s="199"/>
      <c r="IVY207" s="199"/>
      <c r="IVZ207" s="199"/>
      <c r="IWA207" s="199"/>
      <c r="IWB207" s="199"/>
      <c r="IWC207" s="199"/>
      <c r="IWD207" s="199"/>
      <c r="IWE207" s="199"/>
      <c r="IWF207" s="199"/>
      <c r="IWG207" s="199"/>
      <c r="IWH207" s="199"/>
      <c r="IWI207" s="199"/>
      <c r="IWJ207" s="199"/>
      <c r="IWK207" s="199"/>
      <c r="IWL207" s="199"/>
      <c r="IWM207" s="199"/>
      <c r="IWN207" s="199"/>
      <c r="IWO207" s="199"/>
      <c r="IWP207" s="199"/>
      <c r="IWQ207" s="199"/>
      <c r="IWR207" s="199"/>
      <c r="IWS207" s="199"/>
      <c r="IWT207" s="199"/>
      <c r="IWU207" s="199"/>
      <c r="IWV207" s="199"/>
      <c r="IWW207" s="199"/>
      <c r="IWX207" s="199"/>
      <c r="IWY207" s="199"/>
      <c r="IWZ207" s="199"/>
      <c r="IXA207" s="199"/>
      <c r="IXB207" s="199"/>
      <c r="IXC207" s="199"/>
      <c r="IXD207" s="199"/>
      <c r="IXE207" s="199"/>
      <c r="IXF207" s="199"/>
      <c r="IXG207" s="199"/>
      <c r="IXH207" s="199"/>
      <c r="IXI207" s="199"/>
      <c r="IXJ207" s="199"/>
      <c r="IXK207" s="199"/>
      <c r="IXL207" s="199"/>
      <c r="IXM207" s="199"/>
      <c r="IXN207" s="199"/>
      <c r="IXO207" s="199"/>
      <c r="IXP207" s="199"/>
      <c r="IXQ207" s="199"/>
      <c r="IXR207" s="199"/>
      <c r="IXS207" s="199"/>
      <c r="IXT207" s="199"/>
      <c r="IXU207" s="199"/>
      <c r="IXV207" s="199"/>
      <c r="IXW207" s="199"/>
      <c r="IXX207" s="199"/>
      <c r="IXY207" s="199"/>
      <c r="IXZ207" s="199"/>
      <c r="IYA207" s="199"/>
      <c r="IYB207" s="199"/>
      <c r="IYC207" s="199"/>
      <c r="IYD207" s="199"/>
      <c r="IYE207" s="199"/>
      <c r="IYF207" s="199"/>
      <c r="IYG207" s="199"/>
      <c r="IYH207" s="199"/>
      <c r="IYI207" s="199"/>
      <c r="IYJ207" s="199"/>
      <c r="IYK207" s="199"/>
      <c r="IYL207" s="199"/>
      <c r="IYM207" s="199"/>
      <c r="IYN207" s="199"/>
      <c r="IYO207" s="199"/>
      <c r="IYP207" s="199"/>
      <c r="IYQ207" s="199"/>
      <c r="IYR207" s="199"/>
      <c r="IYS207" s="199"/>
      <c r="IYT207" s="199"/>
      <c r="IYU207" s="199"/>
      <c r="IYV207" s="199"/>
      <c r="IYW207" s="199"/>
      <c r="IYX207" s="199"/>
      <c r="IYY207" s="199"/>
      <c r="IYZ207" s="199"/>
      <c r="IZA207" s="199"/>
      <c r="IZB207" s="199"/>
      <c r="IZC207" s="199"/>
      <c r="IZD207" s="199"/>
      <c r="IZE207" s="199"/>
      <c r="IZF207" s="199"/>
      <c r="IZG207" s="199"/>
      <c r="IZH207" s="199"/>
      <c r="IZI207" s="199"/>
      <c r="IZJ207" s="199"/>
      <c r="IZK207" s="199"/>
      <c r="IZL207" s="199"/>
      <c r="IZM207" s="199"/>
      <c r="IZN207" s="199"/>
      <c r="IZO207" s="199"/>
      <c r="IZP207" s="199"/>
      <c r="IZQ207" s="199"/>
      <c r="IZR207" s="199"/>
      <c r="IZS207" s="199"/>
      <c r="IZT207" s="199"/>
      <c r="IZU207" s="199"/>
      <c r="IZV207" s="199"/>
      <c r="IZW207" s="199"/>
      <c r="IZX207" s="199"/>
      <c r="IZY207" s="199"/>
      <c r="IZZ207" s="199"/>
      <c r="JAA207" s="199"/>
      <c r="JAB207" s="199"/>
      <c r="JAC207" s="199"/>
      <c r="JAD207" s="199"/>
      <c r="JAE207" s="199"/>
      <c r="JAF207" s="199"/>
      <c r="JAG207" s="199"/>
      <c r="JAH207" s="199"/>
      <c r="JAI207" s="199"/>
      <c r="JAJ207" s="199"/>
      <c r="JAK207" s="199"/>
      <c r="JAL207" s="199"/>
      <c r="JAM207" s="199"/>
      <c r="JAN207" s="199"/>
      <c r="JAO207" s="199"/>
      <c r="JAP207" s="199"/>
      <c r="JAQ207" s="199"/>
      <c r="JAR207" s="199"/>
      <c r="JAS207" s="199"/>
      <c r="JAT207" s="199"/>
      <c r="JAU207" s="199"/>
      <c r="JAV207" s="199"/>
      <c r="JAW207" s="199"/>
      <c r="JAX207" s="199"/>
      <c r="JAY207" s="199"/>
      <c r="JAZ207" s="199"/>
      <c r="JBA207" s="199"/>
      <c r="JBB207" s="199"/>
      <c r="JBC207" s="199"/>
      <c r="JBD207" s="199"/>
      <c r="JBE207" s="199"/>
      <c r="JBF207" s="199"/>
      <c r="JBG207" s="199"/>
      <c r="JBH207" s="199"/>
      <c r="JBI207" s="199"/>
      <c r="JBJ207" s="199"/>
      <c r="JBK207" s="199"/>
      <c r="JBL207" s="199"/>
      <c r="JBM207" s="199"/>
      <c r="JBN207" s="199"/>
      <c r="JBO207" s="199"/>
      <c r="JBP207" s="199"/>
      <c r="JBQ207" s="199"/>
      <c r="JBR207" s="199"/>
      <c r="JBS207" s="199"/>
      <c r="JBT207" s="199"/>
      <c r="JBU207" s="199"/>
      <c r="JBV207" s="199"/>
      <c r="JBW207" s="199"/>
      <c r="JBX207" s="199"/>
      <c r="JBY207" s="199"/>
      <c r="JBZ207" s="199"/>
      <c r="JCA207" s="199"/>
      <c r="JCB207" s="199"/>
      <c r="JCC207" s="199"/>
      <c r="JCD207" s="199"/>
      <c r="JCE207" s="199"/>
      <c r="JCF207" s="199"/>
      <c r="JCG207" s="199"/>
      <c r="JCH207" s="199"/>
      <c r="JCI207" s="199"/>
      <c r="JCJ207" s="199"/>
      <c r="JCK207" s="199"/>
      <c r="JCL207" s="199"/>
      <c r="JCM207" s="199"/>
      <c r="JCN207" s="199"/>
      <c r="JCO207" s="199"/>
      <c r="JCP207" s="199"/>
      <c r="JCQ207" s="199"/>
      <c r="JCR207" s="199"/>
      <c r="JCS207" s="199"/>
      <c r="JCT207" s="199"/>
      <c r="JCU207" s="199"/>
      <c r="JCV207" s="199"/>
      <c r="JCW207" s="199"/>
      <c r="JCX207" s="199"/>
      <c r="JCY207" s="199"/>
      <c r="JCZ207" s="199"/>
      <c r="JDA207" s="199"/>
      <c r="JDB207" s="199"/>
      <c r="JDC207" s="199"/>
      <c r="JDD207" s="199"/>
      <c r="JDE207" s="199"/>
      <c r="JDF207" s="199"/>
      <c r="JDG207" s="199"/>
      <c r="JDH207" s="199"/>
      <c r="JDI207" s="199"/>
      <c r="JDJ207" s="199"/>
      <c r="JDK207" s="199"/>
      <c r="JDL207" s="199"/>
      <c r="JDM207" s="199"/>
      <c r="JDN207" s="199"/>
      <c r="JDO207" s="199"/>
      <c r="JDP207" s="199"/>
      <c r="JDQ207" s="199"/>
      <c r="JDR207" s="199"/>
      <c r="JDS207" s="199"/>
      <c r="JDT207" s="199"/>
      <c r="JDU207" s="199"/>
      <c r="JDV207" s="199"/>
      <c r="JDW207" s="199"/>
      <c r="JDX207" s="199"/>
      <c r="JDY207" s="199"/>
      <c r="JDZ207" s="199"/>
      <c r="JEA207" s="199"/>
      <c r="JEB207" s="199"/>
      <c r="JEC207" s="199"/>
      <c r="JED207" s="199"/>
      <c r="JEE207" s="199"/>
      <c r="JEF207" s="199"/>
      <c r="JEG207" s="199"/>
      <c r="JEH207" s="199"/>
      <c r="JEI207" s="199"/>
      <c r="JEJ207" s="199"/>
      <c r="JEK207" s="199"/>
      <c r="JEL207" s="199"/>
      <c r="JEM207" s="199"/>
      <c r="JEN207" s="199"/>
      <c r="JEO207" s="199"/>
      <c r="JEP207" s="199"/>
      <c r="JEQ207" s="199"/>
      <c r="JER207" s="199"/>
      <c r="JES207" s="199"/>
      <c r="JET207" s="199"/>
      <c r="JEU207" s="199"/>
      <c r="JEV207" s="199"/>
      <c r="JEW207" s="199"/>
      <c r="JEX207" s="199"/>
      <c r="JEY207" s="199"/>
      <c r="JEZ207" s="199"/>
      <c r="JFA207" s="199"/>
      <c r="JFB207" s="199"/>
      <c r="JFC207" s="199"/>
      <c r="JFD207" s="199"/>
      <c r="JFE207" s="199"/>
      <c r="JFF207" s="199"/>
      <c r="JFG207" s="199"/>
      <c r="JFH207" s="199"/>
      <c r="JFI207" s="199"/>
      <c r="JFJ207" s="199"/>
      <c r="JFK207" s="199"/>
      <c r="JFL207" s="199"/>
      <c r="JFM207" s="199"/>
      <c r="JFN207" s="199"/>
      <c r="JFO207" s="199"/>
      <c r="JFP207" s="199"/>
      <c r="JFQ207" s="199"/>
      <c r="JFR207" s="199"/>
      <c r="JFS207" s="199"/>
      <c r="JFT207" s="199"/>
      <c r="JFU207" s="199"/>
      <c r="JFV207" s="199"/>
      <c r="JFW207" s="199"/>
      <c r="JFX207" s="199"/>
      <c r="JFY207" s="199"/>
      <c r="JFZ207" s="199"/>
      <c r="JGA207" s="199"/>
      <c r="JGB207" s="199"/>
      <c r="JGC207" s="199"/>
      <c r="JGD207" s="199"/>
      <c r="JGE207" s="199"/>
      <c r="JGF207" s="199"/>
      <c r="JGG207" s="199"/>
      <c r="JGH207" s="199"/>
      <c r="JGI207" s="199"/>
      <c r="JGJ207" s="199"/>
      <c r="JGK207" s="199"/>
      <c r="JGL207" s="199"/>
      <c r="JGM207" s="199"/>
      <c r="JGN207" s="199"/>
      <c r="JGO207" s="199"/>
      <c r="JGP207" s="199"/>
      <c r="JGQ207" s="199"/>
      <c r="JGR207" s="199"/>
      <c r="JGS207" s="199"/>
      <c r="JGT207" s="199"/>
      <c r="JGU207" s="199"/>
      <c r="JGV207" s="199"/>
      <c r="JGW207" s="199"/>
      <c r="JGX207" s="199"/>
      <c r="JGY207" s="199"/>
      <c r="JGZ207" s="199"/>
      <c r="JHA207" s="199"/>
      <c r="JHB207" s="199"/>
      <c r="JHC207" s="199"/>
      <c r="JHD207" s="199"/>
      <c r="JHE207" s="199"/>
      <c r="JHF207" s="199"/>
      <c r="JHG207" s="199"/>
      <c r="JHH207" s="199"/>
      <c r="JHI207" s="199"/>
      <c r="JHJ207" s="199"/>
      <c r="JHK207" s="199"/>
      <c r="JHL207" s="199"/>
      <c r="JHM207" s="199"/>
      <c r="JHN207" s="199"/>
      <c r="JHO207" s="199"/>
      <c r="JHP207" s="199"/>
      <c r="JHQ207" s="199"/>
      <c r="JHR207" s="199"/>
      <c r="JHS207" s="199"/>
      <c r="JHT207" s="199"/>
      <c r="JHU207" s="199"/>
      <c r="JHV207" s="199"/>
      <c r="JHW207" s="199"/>
      <c r="JHX207" s="199"/>
      <c r="JHY207" s="199"/>
      <c r="JHZ207" s="199"/>
      <c r="JIA207" s="199"/>
      <c r="JIB207" s="199"/>
      <c r="JIC207" s="199"/>
      <c r="JID207" s="199"/>
      <c r="JIE207" s="199"/>
      <c r="JIF207" s="199"/>
      <c r="JIG207" s="199"/>
      <c r="JIH207" s="199"/>
      <c r="JII207" s="199"/>
      <c r="JIJ207" s="199"/>
      <c r="JIK207" s="199"/>
      <c r="JIL207" s="199"/>
      <c r="JIM207" s="199"/>
      <c r="JIN207" s="199"/>
      <c r="JIO207" s="199"/>
      <c r="JIP207" s="199"/>
      <c r="JIQ207" s="199"/>
      <c r="JIR207" s="199"/>
      <c r="JIS207" s="199"/>
      <c r="JIT207" s="199"/>
      <c r="JIU207" s="199"/>
      <c r="JIV207" s="199"/>
      <c r="JIW207" s="199"/>
      <c r="JIX207" s="199"/>
      <c r="JIY207" s="199"/>
      <c r="JIZ207" s="199"/>
      <c r="JJA207" s="199"/>
      <c r="JJB207" s="199"/>
      <c r="JJC207" s="199"/>
      <c r="JJD207" s="199"/>
      <c r="JJE207" s="199"/>
      <c r="JJF207" s="199"/>
      <c r="JJG207" s="199"/>
      <c r="JJH207" s="199"/>
      <c r="JJI207" s="199"/>
      <c r="JJJ207" s="199"/>
      <c r="JJK207" s="199"/>
      <c r="JJL207" s="199"/>
      <c r="JJM207" s="199"/>
      <c r="JJN207" s="199"/>
      <c r="JJO207" s="199"/>
      <c r="JJP207" s="199"/>
      <c r="JJQ207" s="199"/>
      <c r="JJR207" s="199"/>
      <c r="JJS207" s="199"/>
      <c r="JJT207" s="199"/>
      <c r="JJU207" s="199"/>
      <c r="JJV207" s="199"/>
      <c r="JJW207" s="199"/>
      <c r="JJX207" s="199"/>
      <c r="JJY207" s="199"/>
      <c r="JJZ207" s="199"/>
      <c r="JKA207" s="199"/>
      <c r="JKB207" s="199"/>
      <c r="JKC207" s="199"/>
      <c r="JKD207" s="199"/>
      <c r="JKE207" s="199"/>
      <c r="JKF207" s="199"/>
      <c r="JKG207" s="199"/>
      <c r="JKH207" s="199"/>
      <c r="JKI207" s="199"/>
      <c r="JKJ207" s="199"/>
      <c r="JKK207" s="199"/>
      <c r="JKL207" s="199"/>
      <c r="JKM207" s="199"/>
      <c r="JKN207" s="199"/>
      <c r="JKO207" s="199"/>
      <c r="JKP207" s="199"/>
      <c r="JKQ207" s="199"/>
      <c r="JKR207" s="199"/>
      <c r="JKS207" s="199"/>
      <c r="JKT207" s="199"/>
      <c r="JKU207" s="199"/>
      <c r="JKV207" s="199"/>
      <c r="JKW207" s="199"/>
      <c r="JKX207" s="199"/>
      <c r="JKY207" s="199"/>
      <c r="JKZ207" s="199"/>
      <c r="JLA207" s="199"/>
      <c r="JLB207" s="199"/>
      <c r="JLC207" s="199"/>
      <c r="JLD207" s="199"/>
      <c r="JLE207" s="199"/>
      <c r="JLF207" s="199"/>
      <c r="JLG207" s="199"/>
      <c r="JLH207" s="199"/>
      <c r="JLI207" s="199"/>
      <c r="JLJ207" s="199"/>
      <c r="JLK207" s="199"/>
      <c r="JLL207" s="199"/>
      <c r="JLM207" s="199"/>
      <c r="JLN207" s="199"/>
      <c r="JLO207" s="199"/>
      <c r="JLP207" s="199"/>
      <c r="JLQ207" s="199"/>
      <c r="JLR207" s="199"/>
      <c r="JLS207" s="199"/>
      <c r="JLT207" s="199"/>
      <c r="JLU207" s="199"/>
      <c r="JLV207" s="199"/>
      <c r="JLW207" s="199"/>
      <c r="JLX207" s="199"/>
      <c r="JLY207" s="199"/>
      <c r="JLZ207" s="199"/>
      <c r="JMA207" s="199"/>
      <c r="JMB207" s="199"/>
      <c r="JMC207" s="199"/>
      <c r="JMD207" s="199"/>
      <c r="JME207" s="199"/>
      <c r="JMF207" s="199"/>
      <c r="JMG207" s="199"/>
      <c r="JMH207" s="199"/>
      <c r="JMI207" s="199"/>
      <c r="JMJ207" s="199"/>
      <c r="JMK207" s="199"/>
      <c r="JML207" s="199"/>
      <c r="JMM207" s="199"/>
      <c r="JMN207" s="199"/>
      <c r="JMO207" s="199"/>
      <c r="JMP207" s="199"/>
      <c r="JMQ207" s="199"/>
      <c r="JMR207" s="199"/>
      <c r="JMS207" s="199"/>
      <c r="JMT207" s="199"/>
      <c r="JMU207" s="199"/>
      <c r="JMV207" s="199"/>
      <c r="JMW207" s="199"/>
      <c r="JMX207" s="199"/>
      <c r="JMY207" s="199"/>
      <c r="JMZ207" s="199"/>
      <c r="JNA207" s="199"/>
      <c r="JNB207" s="199"/>
      <c r="JNC207" s="199"/>
      <c r="JND207" s="199"/>
      <c r="JNE207" s="199"/>
      <c r="JNF207" s="199"/>
      <c r="JNG207" s="199"/>
      <c r="JNH207" s="199"/>
      <c r="JNI207" s="199"/>
      <c r="JNJ207" s="199"/>
      <c r="JNK207" s="199"/>
      <c r="JNL207" s="199"/>
      <c r="JNM207" s="199"/>
      <c r="JNN207" s="199"/>
      <c r="JNO207" s="199"/>
      <c r="JNP207" s="199"/>
      <c r="JNQ207" s="199"/>
      <c r="JNR207" s="199"/>
      <c r="JNS207" s="199"/>
      <c r="JNT207" s="199"/>
      <c r="JNU207" s="199"/>
      <c r="JNV207" s="199"/>
      <c r="JNW207" s="199"/>
      <c r="JNX207" s="199"/>
      <c r="JNY207" s="199"/>
      <c r="JNZ207" s="199"/>
      <c r="JOA207" s="199"/>
      <c r="JOB207" s="199"/>
      <c r="JOC207" s="199"/>
      <c r="JOD207" s="199"/>
      <c r="JOE207" s="199"/>
      <c r="JOF207" s="199"/>
      <c r="JOG207" s="199"/>
      <c r="JOH207" s="199"/>
      <c r="JOI207" s="199"/>
      <c r="JOJ207" s="199"/>
      <c r="JOK207" s="199"/>
      <c r="JOL207" s="199"/>
      <c r="JOM207" s="199"/>
      <c r="JON207" s="199"/>
      <c r="JOO207" s="199"/>
      <c r="JOP207" s="199"/>
      <c r="JOQ207" s="199"/>
      <c r="JOR207" s="199"/>
      <c r="JOS207" s="199"/>
      <c r="JOT207" s="199"/>
      <c r="JOU207" s="199"/>
      <c r="JOV207" s="199"/>
      <c r="JOW207" s="199"/>
      <c r="JOX207" s="199"/>
      <c r="JOY207" s="199"/>
      <c r="JOZ207" s="199"/>
      <c r="JPA207" s="199"/>
      <c r="JPB207" s="199"/>
      <c r="JPC207" s="199"/>
      <c r="JPD207" s="199"/>
      <c r="JPE207" s="199"/>
      <c r="JPF207" s="199"/>
      <c r="JPG207" s="199"/>
      <c r="JPH207" s="199"/>
      <c r="JPI207" s="199"/>
      <c r="JPJ207" s="199"/>
      <c r="JPK207" s="199"/>
      <c r="JPL207" s="199"/>
      <c r="JPM207" s="199"/>
      <c r="JPN207" s="199"/>
      <c r="JPO207" s="199"/>
      <c r="JPP207" s="199"/>
      <c r="JPQ207" s="199"/>
      <c r="JPR207" s="199"/>
      <c r="JPS207" s="199"/>
      <c r="JPT207" s="199"/>
      <c r="JPU207" s="199"/>
      <c r="JPV207" s="199"/>
      <c r="JPW207" s="199"/>
      <c r="JPX207" s="199"/>
      <c r="JPY207" s="199"/>
      <c r="JPZ207" s="199"/>
      <c r="JQA207" s="199"/>
      <c r="JQB207" s="199"/>
      <c r="JQC207" s="199"/>
      <c r="JQD207" s="199"/>
      <c r="JQE207" s="199"/>
      <c r="JQF207" s="199"/>
      <c r="JQG207" s="199"/>
      <c r="JQH207" s="199"/>
      <c r="JQI207" s="199"/>
      <c r="JQJ207" s="199"/>
      <c r="JQK207" s="199"/>
      <c r="JQL207" s="199"/>
      <c r="JQM207" s="199"/>
      <c r="JQN207" s="199"/>
      <c r="JQO207" s="199"/>
      <c r="JQP207" s="199"/>
      <c r="JQQ207" s="199"/>
      <c r="JQR207" s="199"/>
      <c r="JQS207" s="199"/>
      <c r="JQT207" s="199"/>
      <c r="JQU207" s="199"/>
      <c r="JQV207" s="199"/>
      <c r="JQW207" s="199"/>
      <c r="JQX207" s="199"/>
      <c r="JQY207" s="199"/>
      <c r="JQZ207" s="199"/>
      <c r="JRA207" s="199"/>
      <c r="JRB207" s="199"/>
      <c r="JRC207" s="199"/>
      <c r="JRD207" s="199"/>
      <c r="JRE207" s="199"/>
      <c r="JRF207" s="199"/>
      <c r="JRG207" s="199"/>
      <c r="JRH207" s="199"/>
      <c r="JRI207" s="199"/>
      <c r="JRJ207" s="199"/>
      <c r="JRK207" s="199"/>
      <c r="JRL207" s="199"/>
      <c r="JRM207" s="199"/>
      <c r="JRN207" s="199"/>
      <c r="JRO207" s="199"/>
      <c r="JRP207" s="199"/>
      <c r="JRQ207" s="199"/>
      <c r="JRR207" s="199"/>
      <c r="JRS207" s="199"/>
      <c r="JRT207" s="199"/>
      <c r="JRU207" s="199"/>
      <c r="JRV207" s="199"/>
      <c r="JRW207" s="199"/>
      <c r="JRX207" s="199"/>
      <c r="JRY207" s="199"/>
      <c r="JRZ207" s="199"/>
      <c r="JSA207" s="199"/>
      <c r="JSB207" s="199"/>
      <c r="JSC207" s="199"/>
      <c r="JSD207" s="199"/>
      <c r="JSE207" s="199"/>
      <c r="JSF207" s="199"/>
      <c r="JSG207" s="199"/>
      <c r="JSH207" s="199"/>
      <c r="JSI207" s="199"/>
      <c r="JSJ207" s="199"/>
      <c r="JSK207" s="199"/>
      <c r="JSL207" s="199"/>
      <c r="JSM207" s="199"/>
      <c r="JSN207" s="199"/>
      <c r="JSO207" s="199"/>
      <c r="JSP207" s="199"/>
      <c r="JSQ207" s="199"/>
      <c r="JSR207" s="199"/>
      <c r="JSS207" s="199"/>
      <c r="JST207" s="199"/>
      <c r="JSU207" s="199"/>
      <c r="JSV207" s="199"/>
      <c r="JSW207" s="199"/>
      <c r="JSX207" s="199"/>
      <c r="JSY207" s="199"/>
      <c r="JSZ207" s="199"/>
      <c r="JTA207" s="199"/>
      <c r="JTB207" s="199"/>
      <c r="JTC207" s="199"/>
      <c r="JTD207" s="199"/>
      <c r="JTE207" s="199"/>
      <c r="JTF207" s="199"/>
      <c r="JTG207" s="199"/>
      <c r="JTH207" s="199"/>
      <c r="JTI207" s="199"/>
      <c r="JTJ207" s="199"/>
      <c r="JTK207" s="199"/>
      <c r="JTL207" s="199"/>
      <c r="JTM207" s="199"/>
      <c r="JTN207" s="199"/>
      <c r="JTO207" s="199"/>
      <c r="JTP207" s="199"/>
      <c r="JTQ207" s="199"/>
      <c r="JTR207" s="199"/>
      <c r="JTS207" s="199"/>
      <c r="JTT207" s="199"/>
      <c r="JTU207" s="199"/>
      <c r="JTV207" s="199"/>
      <c r="JTW207" s="199"/>
      <c r="JTX207" s="199"/>
      <c r="JTY207" s="199"/>
      <c r="JTZ207" s="199"/>
      <c r="JUA207" s="199"/>
      <c r="JUB207" s="199"/>
      <c r="JUC207" s="199"/>
      <c r="JUD207" s="199"/>
      <c r="JUE207" s="199"/>
      <c r="JUF207" s="199"/>
      <c r="JUG207" s="199"/>
      <c r="JUH207" s="199"/>
      <c r="JUI207" s="199"/>
      <c r="JUJ207" s="199"/>
      <c r="JUK207" s="199"/>
      <c r="JUL207" s="199"/>
      <c r="JUM207" s="199"/>
      <c r="JUN207" s="199"/>
      <c r="JUO207" s="199"/>
      <c r="JUP207" s="199"/>
      <c r="JUQ207" s="199"/>
      <c r="JUR207" s="199"/>
      <c r="JUS207" s="199"/>
      <c r="JUT207" s="199"/>
      <c r="JUU207" s="199"/>
      <c r="JUV207" s="199"/>
      <c r="JUW207" s="199"/>
      <c r="JUX207" s="199"/>
      <c r="JUY207" s="199"/>
      <c r="JUZ207" s="199"/>
      <c r="JVA207" s="199"/>
      <c r="JVB207" s="199"/>
      <c r="JVC207" s="199"/>
      <c r="JVD207" s="199"/>
      <c r="JVE207" s="199"/>
      <c r="JVF207" s="199"/>
      <c r="JVG207" s="199"/>
      <c r="JVH207" s="199"/>
      <c r="JVI207" s="199"/>
      <c r="JVJ207" s="199"/>
      <c r="JVK207" s="199"/>
      <c r="JVL207" s="199"/>
      <c r="JVM207" s="199"/>
      <c r="JVN207" s="199"/>
      <c r="JVO207" s="199"/>
      <c r="JVP207" s="199"/>
      <c r="JVQ207" s="199"/>
      <c r="JVR207" s="199"/>
      <c r="JVS207" s="199"/>
      <c r="JVT207" s="199"/>
      <c r="JVU207" s="199"/>
      <c r="JVV207" s="199"/>
      <c r="JVW207" s="199"/>
      <c r="JVX207" s="199"/>
      <c r="JVY207" s="199"/>
      <c r="JVZ207" s="199"/>
      <c r="JWA207" s="199"/>
      <c r="JWB207" s="199"/>
      <c r="JWC207" s="199"/>
      <c r="JWD207" s="199"/>
      <c r="JWE207" s="199"/>
      <c r="JWF207" s="199"/>
      <c r="JWG207" s="199"/>
      <c r="JWH207" s="199"/>
      <c r="JWI207" s="199"/>
      <c r="JWJ207" s="199"/>
      <c r="JWK207" s="199"/>
      <c r="JWL207" s="199"/>
      <c r="JWM207" s="199"/>
      <c r="JWN207" s="199"/>
      <c r="JWO207" s="199"/>
      <c r="JWP207" s="199"/>
      <c r="JWQ207" s="199"/>
      <c r="JWR207" s="199"/>
      <c r="JWS207" s="199"/>
      <c r="JWT207" s="199"/>
      <c r="JWU207" s="199"/>
      <c r="JWV207" s="199"/>
      <c r="JWW207" s="199"/>
      <c r="JWX207" s="199"/>
      <c r="JWY207" s="199"/>
      <c r="JWZ207" s="199"/>
      <c r="JXA207" s="199"/>
      <c r="JXB207" s="199"/>
      <c r="JXC207" s="199"/>
      <c r="JXD207" s="199"/>
      <c r="JXE207" s="199"/>
      <c r="JXF207" s="199"/>
      <c r="JXG207" s="199"/>
      <c r="JXH207" s="199"/>
      <c r="JXI207" s="199"/>
      <c r="JXJ207" s="199"/>
      <c r="JXK207" s="199"/>
      <c r="JXL207" s="199"/>
      <c r="JXM207" s="199"/>
      <c r="JXN207" s="199"/>
      <c r="JXO207" s="199"/>
      <c r="JXP207" s="199"/>
      <c r="JXQ207" s="199"/>
      <c r="JXR207" s="199"/>
      <c r="JXS207" s="199"/>
      <c r="JXT207" s="199"/>
      <c r="JXU207" s="199"/>
      <c r="JXV207" s="199"/>
      <c r="JXW207" s="199"/>
      <c r="JXX207" s="199"/>
      <c r="JXY207" s="199"/>
      <c r="JXZ207" s="199"/>
      <c r="JYA207" s="199"/>
      <c r="JYB207" s="199"/>
      <c r="JYC207" s="199"/>
      <c r="JYD207" s="199"/>
      <c r="JYE207" s="199"/>
      <c r="JYF207" s="199"/>
      <c r="JYG207" s="199"/>
      <c r="JYH207" s="199"/>
      <c r="JYI207" s="199"/>
      <c r="JYJ207" s="199"/>
      <c r="JYK207" s="199"/>
      <c r="JYL207" s="199"/>
      <c r="JYM207" s="199"/>
      <c r="JYN207" s="199"/>
      <c r="JYO207" s="199"/>
      <c r="JYP207" s="199"/>
      <c r="JYQ207" s="199"/>
      <c r="JYR207" s="199"/>
      <c r="JYS207" s="199"/>
      <c r="JYT207" s="199"/>
      <c r="JYU207" s="199"/>
      <c r="JYV207" s="199"/>
      <c r="JYW207" s="199"/>
      <c r="JYX207" s="199"/>
      <c r="JYY207" s="199"/>
      <c r="JYZ207" s="199"/>
      <c r="JZA207" s="199"/>
      <c r="JZB207" s="199"/>
      <c r="JZC207" s="199"/>
      <c r="JZD207" s="199"/>
      <c r="JZE207" s="199"/>
      <c r="JZF207" s="199"/>
      <c r="JZG207" s="199"/>
      <c r="JZH207" s="199"/>
      <c r="JZI207" s="199"/>
      <c r="JZJ207" s="199"/>
      <c r="JZK207" s="199"/>
      <c r="JZL207" s="199"/>
      <c r="JZM207" s="199"/>
      <c r="JZN207" s="199"/>
      <c r="JZO207" s="199"/>
      <c r="JZP207" s="199"/>
      <c r="JZQ207" s="199"/>
      <c r="JZR207" s="199"/>
      <c r="JZS207" s="199"/>
      <c r="JZT207" s="199"/>
      <c r="JZU207" s="199"/>
      <c r="JZV207" s="199"/>
      <c r="JZW207" s="199"/>
      <c r="JZX207" s="199"/>
      <c r="JZY207" s="199"/>
      <c r="JZZ207" s="199"/>
      <c r="KAA207" s="199"/>
      <c r="KAB207" s="199"/>
      <c r="KAC207" s="199"/>
      <c r="KAD207" s="199"/>
      <c r="KAE207" s="199"/>
      <c r="KAF207" s="199"/>
      <c r="KAG207" s="199"/>
      <c r="KAH207" s="199"/>
      <c r="KAI207" s="199"/>
      <c r="KAJ207" s="199"/>
      <c r="KAK207" s="199"/>
      <c r="KAL207" s="199"/>
      <c r="KAM207" s="199"/>
      <c r="KAN207" s="199"/>
      <c r="KAO207" s="199"/>
      <c r="KAP207" s="199"/>
      <c r="KAQ207" s="199"/>
      <c r="KAR207" s="199"/>
      <c r="KAS207" s="199"/>
      <c r="KAT207" s="199"/>
      <c r="KAU207" s="199"/>
      <c r="KAV207" s="199"/>
      <c r="KAW207" s="199"/>
      <c r="KAX207" s="199"/>
      <c r="KAY207" s="199"/>
      <c r="KAZ207" s="199"/>
      <c r="KBA207" s="199"/>
      <c r="KBB207" s="199"/>
      <c r="KBC207" s="199"/>
      <c r="KBD207" s="199"/>
      <c r="KBE207" s="199"/>
      <c r="KBF207" s="199"/>
      <c r="KBG207" s="199"/>
      <c r="KBH207" s="199"/>
      <c r="KBI207" s="199"/>
      <c r="KBJ207" s="199"/>
      <c r="KBK207" s="199"/>
      <c r="KBL207" s="199"/>
      <c r="KBM207" s="199"/>
      <c r="KBN207" s="199"/>
      <c r="KBO207" s="199"/>
      <c r="KBP207" s="199"/>
      <c r="KBQ207" s="199"/>
      <c r="KBR207" s="199"/>
      <c r="KBS207" s="199"/>
      <c r="KBT207" s="199"/>
      <c r="KBU207" s="199"/>
      <c r="KBV207" s="199"/>
      <c r="KBW207" s="199"/>
      <c r="KBX207" s="199"/>
      <c r="KBY207" s="199"/>
      <c r="KBZ207" s="199"/>
      <c r="KCA207" s="199"/>
      <c r="KCB207" s="199"/>
      <c r="KCC207" s="199"/>
      <c r="KCD207" s="199"/>
      <c r="KCE207" s="199"/>
      <c r="KCF207" s="199"/>
      <c r="KCG207" s="199"/>
      <c r="KCH207" s="199"/>
      <c r="KCI207" s="199"/>
      <c r="KCJ207" s="199"/>
      <c r="KCK207" s="199"/>
      <c r="KCL207" s="199"/>
      <c r="KCM207" s="199"/>
      <c r="KCN207" s="199"/>
      <c r="KCO207" s="199"/>
      <c r="KCP207" s="199"/>
      <c r="KCQ207" s="199"/>
      <c r="KCR207" s="199"/>
      <c r="KCS207" s="199"/>
      <c r="KCT207" s="199"/>
      <c r="KCU207" s="199"/>
      <c r="KCV207" s="199"/>
      <c r="KCW207" s="199"/>
      <c r="KCX207" s="199"/>
      <c r="KCY207" s="199"/>
      <c r="KCZ207" s="199"/>
      <c r="KDA207" s="199"/>
      <c r="KDB207" s="199"/>
      <c r="KDC207" s="199"/>
      <c r="KDD207" s="199"/>
      <c r="KDE207" s="199"/>
      <c r="KDF207" s="199"/>
      <c r="KDG207" s="199"/>
      <c r="KDH207" s="199"/>
      <c r="KDI207" s="199"/>
      <c r="KDJ207" s="199"/>
      <c r="KDK207" s="199"/>
      <c r="KDL207" s="199"/>
      <c r="KDM207" s="199"/>
      <c r="KDN207" s="199"/>
      <c r="KDO207" s="199"/>
      <c r="KDP207" s="199"/>
      <c r="KDQ207" s="199"/>
      <c r="KDR207" s="199"/>
      <c r="KDS207" s="199"/>
      <c r="KDT207" s="199"/>
      <c r="KDU207" s="199"/>
      <c r="KDV207" s="199"/>
      <c r="KDW207" s="199"/>
      <c r="KDX207" s="199"/>
      <c r="KDY207" s="199"/>
      <c r="KDZ207" s="199"/>
      <c r="KEA207" s="199"/>
      <c r="KEB207" s="199"/>
      <c r="KEC207" s="199"/>
      <c r="KED207" s="199"/>
      <c r="KEE207" s="199"/>
      <c r="KEF207" s="199"/>
      <c r="KEG207" s="199"/>
      <c r="KEH207" s="199"/>
      <c r="KEI207" s="199"/>
      <c r="KEJ207" s="199"/>
      <c r="KEK207" s="199"/>
      <c r="KEL207" s="199"/>
      <c r="KEM207" s="199"/>
      <c r="KEN207" s="199"/>
      <c r="KEO207" s="199"/>
      <c r="KEP207" s="199"/>
      <c r="KEQ207" s="199"/>
      <c r="KER207" s="199"/>
      <c r="KES207" s="199"/>
      <c r="KET207" s="199"/>
      <c r="KEU207" s="199"/>
      <c r="KEV207" s="199"/>
      <c r="KEW207" s="199"/>
      <c r="KEX207" s="199"/>
      <c r="KEY207" s="199"/>
      <c r="KEZ207" s="199"/>
      <c r="KFA207" s="199"/>
      <c r="KFB207" s="199"/>
      <c r="KFC207" s="199"/>
      <c r="KFD207" s="199"/>
      <c r="KFE207" s="199"/>
      <c r="KFF207" s="199"/>
      <c r="KFG207" s="199"/>
      <c r="KFH207" s="199"/>
      <c r="KFI207" s="199"/>
      <c r="KFJ207" s="199"/>
      <c r="KFK207" s="199"/>
      <c r="KFL207" s="199"/>
      <c r="KFM207" s="199"/>
      <c r="KFN207" s="199"/>
      <c r="KFO207" s="199"/>
      <c r="KFP207" s="199"/>
      <c r="KFQ207" s="199"/>
      <c r="KFR207" s="199"/>
      <c r="KFS207" s="199"/>
      <c r="KFT207" s="199"/>
      <c r="KFU207" s="199"/>
      <c r="KFV207" s="199"/>
      <c r="KFW207" s="199"/>
      <c r="KFX207" s="199"/>
      <c r="KFY207" s="199"/>
      <c r="KFZ207" s="199"/>
      <c r="KGA207" s="199"/>
      <c r="KGB207" s="199"/>
      <c r="KGC207" s="199"/>
      <c r="KGD207" s="199"/>
      <c r="KGE207" s="199"/>
      <c r="KGF207" s="199"/>
      <c r="KGG207" s="199"/>
      <c r="KGH207" s="199"/>
      <c r="KGI207" s="199"/>
      <c r="KGJ207" s="199"/>
      <c r="KGK207" s="199"/>
      <c r="KGL207" s="199"/>
      <c r="KGM207" s="199"/>
      <c r="KGN207" s="199"/>
      <c r="KGO207" s="199"/>
      <c r="KGP207" s="199"/>
      <c r="KGQ207" s="199"/>
      <c r="KGR207" s="199"/>
      <c r="KGS207" s="199"/>
      <c r="KGT207" s="199"/>
      <c r="KGU207" s="199"/>
      <c r="KGV207" s="199"/>
      <c r="KGW207" s="199"/>
      <c r="KGX207" s="199"/>
      <c r="KGY207" s="199"/>
      <c r="KGZ207" s="199"/>
      <c r="KHA207" s="199"/>
      <c r="KHB207" s="199"/>
      <c r="KHC207" s="199"/>
      <c r="KHD207" s="199"/>
      <c r="KHE207" s="199"/>
      <c r="KHF207" s="199"/>
      <c r="KHG207" s="199"/>
      <c r="KHH207" s="199"/>
      <c r="KHI207" s="199"/>
      <c r="KHJ207" s="199"/>
      <c r="KHK207" s="199"/>
      <c r="KHL207" s="199"/>
      <c r="KHM207" s="199"/>
      <c r="KHN207" s="199"/>
      <c r="KHO207" s="199"/>
      <c r="KHP207" s="199"/>
      <c r="KHQ207" s="199"/>
      <c r="KHR207" s="199"/>
      <c r="KHS207" s="199"/>
      <c r="KHT207" s="199"/>
      <c r="KHU207" s="199"/>
      <c r="KHV207" s="199"/>
      <c r="KHW207" s="199"/>
      <c r="KHX207" s="199"/>
      <c r="KHY207" s="199"/>
      <c r="KHZ207" s="199"/>
      <c r="KIA207" s="199"/>
      <c r="KIB207" s="199"/>
      <c r="KIC207" s="199"/>
      <c r="KID207" s="199"/>
      <c r="KIE207" s="199"/>
      <c r="KIF207" s="199"/>
      <c r="KIG207" s="199"/>
      <c r="KIH207" s="199"/>
      <c r="KII207" s="199"/>
      <c r="KIJ207" s="199"/>
      <c r="KIK207" s="199"/>
      <c r="KIL207" s="199"/>
      <c r="KIM207" s="199"/>
      <c r="KIN207" s="199"/>
      <c r="KIO207" s="199"/>
      <c r="KIP207" s="199"/>
      <c r="KIQ207" s="199"/>
      <c r="KIR207" s="199"/>
      <c r="KIS207" s="199"/>
      <c r="KIT207" s="199"/>
      <c r="KIU207" s="199"/>
      <c r="KIV207" s="199"/>
      <c r="KIW207" s="199"/>
      <c r="KIX207" s="199"/>
      <c r="KIY207" s="199"/>
      <c r="KIZ207" s="199"/>
      <c r="KJA207" s="199"/>
      <c r="KJB207" s="199"/>
      <c r="KJC207" s="199"/>
      <c r="KJD207" s="199"/>
      <c r="KJE207" s="199"/>
      <c r="KJF207" s="199"/>
      <c r="KJG207" s="199"/>
      <c r="KJH207" s="199"/>
      <c r="KJI207" s="199"/>
      <c r="KJJ207" s="199"/>
      <c r="KJK207" s="199"/>
      <c r="KJL207" s="199"/>
      <c r="KJM207" s="199"/>
      <c r="KJN207" s="199"/>
      <c r="KJO207" s="199"/>
      <c r="KJP207" s="199"/>
      <c r="KJQ207" s="199"/>
      <c r="KJR207" s="199"/>
      <c r="KJS207" s="199"/>
      <c r="KJT207" s="199"/>
      <c r="KJU207" s="199"/>
      <c r="KJV207" s="199"/>
      <c r="KJW207" s="199"/>
      <c r="KJX207" s="199"/>
      <c r="KJY207" s="199"/>
      <c r="KJZ207" s="199"/>
      <c r="KKA207" s="199"/>
      <c r="KKB207" s="199"/>
      <c r="KKC207" s="199"/>
      <c r="KKD207" s="199"/>
      <c r="KKE207" s="199"/>
      <c r="KKF207" s="199"/>
      <c r="KKG207" s="199"/>
      <c r="KKH207" s="199"/>
      <c r="KKI207" s="199"/>
      <c r="KKJ207" s="199"/>
      <c r="KKK207" s="199"/>
      <c r="KKL207" s="199"/>
      <c r="KKM207" s="199"/>
      <c r="KKN207" s="199"/>
      <c r="KKO207" s="199"/>
      <c r="KKP207" s="199"/>
      <c r="KKQ207" s="199"/>
      <c r="KKR207" s="199"/>
      <c r="KKS207" s="199"/>
      <c r="KKT207" s="199"/>
      <c r="KKU207" s="199"/>
      <c r="KKV207" s="199"/>
      <c r="KKW207" s="199"/>
      <c r="KKX207" s="199"/>
      <c r="KKY207" s="199"/>
      <c r="KKZ207" s="199"/>
      <c r="KLA207" s="199"/>
      <c r="KLB207" s="199"/>
      <c r="KLC207" s="199"/>
      <c r="KLD207" s="199"/>
      <c r="KLE207" s="199"/>
      <c r="KLF207" s="199"/>
      <c r="KLG207" s="199"/>
      <c r="KLH207" s="199"/>
      <c r="KLI207" s="199"/>
      <c r="KLJ207" s="199"/>
      <c r="KLK207" s="199"/>
      <c r="KLL207" s="199"/>
      <c r="KLM207" s="199"/>
      <c r="KLN207" s="199"/>
      <c r="KLO207" s="199"/>
      <c r="KLP207" s="199"/>
      <c r="KLQ207" s="199"/>
      <c r="KLR207" s="199"/>
      <c r="KLS207" s="199"/>
      <c r="KLT207" s="199"/>
      <c r="KLU207" s="199"/>
      <c r="KLV207" s="199"/>
      <c r="KLW207" s="199"/>
      <c r="KLX207" s="199"/>
      <c r="KLY207" s="199"/>
      <c r="KLZ207" s="199"/>
      <c r="KMA207" s="199"/>
      <c r="KMB207" s="199"/>
      <c r="KMC207" s="199"/>
      <c r="KMD207" s="199"/>
      <c r="KME207" s="199"/>
      <c r="KMF207" s="199"/>
      <c r="KMG207" s="199"/>
      <c r="KMH207" s="199"/>
      <c r="KMI207" s="199"/>
      <c r="KMJ207" s="199"/>
      <c r="KMK207" s="199"/>
      <c r="KML207" s="199"/>
      <c r="KMM207" s="199"/>
      <c r="KMN207" s="199"/>
      <c r="KMO207" s="199"/>
      <c r="KMP207" s="199"/>
      <c r="KMQ207" s="199"/>
      <c r="KMR207" s="199"/>
      <c r="KMS207" s="199"/>
      <c r="KMT207" s="199"/>
      <c r="KMU207" s="199"/>
      <c r="KMV207" s="199"/>
      <c r="KMW207" s="199"/>
      <c r="KMX207" s="199"/>
      <c r="KMY207" s="199"/>
      <c r="KMZ207" s="199"/>
      <c r="KNA207" s="199"/>
      <c r="KNB207" s="199"/>
      <c r="KNC207" s="199"/>
      <c r="KND207" s="199"/>
      <c r="KNE207" s="199"/>
      <c r="KNF207" s="199"/>
      <c r="KNG207" s="199"/>
      <c r="KNH207" s="199"/>
      <c r="KNI207" s="199"/>
      <c r="KNJ207" s="199"/>
      <c r="KNK207" s="199"/>
      <c r="KNL207" s="199"/>
      <c r="KNM207" s="199"/>
      <c r="KNN207" s="199"/>
      <c r="KNO207" s="199"/>
      <c r="KNP207" s="199"/>
      <c r="KNQ207" s="199"/>
      <c r="KNR207" s="199"/>
      <c r="KNS207" s="199"/>
      <c r="KNT207" s="199"/>
      <c r="KNU207" s="199"/>
      <c r="KNV207" s="199"/>
      <c r="KNW207" s="199"/>
      <c r="KNX207" s="199"/>
      <c r="KNY207" s="199"/>
      <c r="KNZ207" s="199"/>
      <c r="KOA207" s="199"/>
      <c r="KOB207" s="199"/>
      <c r="KOC207" s="199"/>
      <c r="KOD207" s="199"/>
      <c r="KOE207" s="199"/>
      <c r="KOF207" s="199"/>
      <c r="KOG207" s="199"/>
      <c r="KOH207" s="199"/>
      <c r="KOI207" s="199"/>
      <c r="KOJ207" s="199"/>
      <c r="KOK207" s="199"/>
      <c r="KOL207" s="199"/>
      <c r="KOM207" s="199"/>
      <c r="KON207" s="199"/>
      <c r="KOO207" s="199"/>
      <c r="KOP207" s="199"/>
      <c r="KOQ207" s="199"/>
      <c r="KOR207" s="199"/>
      <c r="KOS207" s="199"/>
      <c r="KOT207" s="199"/>
      <c r="KOU207" s="199"/>
      <c r="KOV207" s="199"/>
      <c r="KOW207" s="199"/>
      <c r="KOX207" s="199"/>
      <c r="KOY207" s="199"/>
      <c r="KOZ207" s="199"/>
      <c r="KPA207" s="199"/>
      <c r="KPB207" s="199"/>
      <c r="KPC207" s="199"/>
      <c r="KPD207" s="199"/>
      <c r="KPE207" s="199"/>
      <c r="KPF207" s="199"/>
      <c r="KPG207" s="199"/>
      <c r="KPH207" s="199"/>
      <c r="KPI207" s="199"/>
      <c r="KPJ207" s="199"/>
      <c r="KPK207" s="199"/>
      <c r="KPL207" s="199"/>
      <c r="KPM207" s="199"/>
      <c r="KPN207" s="199"/>
      <c r="KPO207" s="199"/>
      <c r="KPP207" s="199"/>
      <c r="KPQ207" s="199"/>
      <c r="KPR207" s="199"/>
      <c r="KPS207" s="199"/>
      <c r="KPT207" s="199"/>
      <c r="KPU207" s="199"/>
      <c r="KPV207" s="199"/>
      <c r="KPW207" s="199"/>
      <c r="KPX207" s="199"/>
      <c r="KPY207" s="199"/>
      <c r="KPZ207" s="199"/>
      <c r="KQA207" s="199"/>
      <c r="KQB207" s="199"/>
      <c r="KQC207" s="199"/>
      <c r="KQD207" s="199"/>
      <c r="KQE207" s="199"/>
      <c r="KQF207" s="199"/>
      <c r="KQG207" s="199"/>
      <c r="KQH207" s="199"/>
      <c r="KQI207" s="199"/>
      <c r="KQJ207" s="199"/>
      <c r="KQK207" s="199"/>
      <c r="KQL207" s="199"/>
      <c r="KQM207" s="199"/>
      <c r="KQN207" s="199"/>
      <c r="KQO207" s="199"/>
      <c r="KQP207" s="199"/>
      <c r="KQQ207" s="199"/>
      <c r="KQR207" s="199"/>
      <c r="KQS207" s="199"/>
      <c r="KQT207" s="199"/>
      <c r="KQU207" s="199"/>
      <c r="KQV207" s="199"/>
      <c r="KQW207" s="199"/>
      <c r="KQX207" s="199"/>
      <c r="KQY207" s="199"/>
      <c r="KQZ207" s="199"/>
      <c r="KRA207" s="199"/>
      <c r="KRB207" s="199"/>
      <c r="KRC207" s="199"/>
      <c r="KRD207" s="199"/>
      <c r="KRE207" s="199"/>
      <c r="KRF207" s="199"/>
      <c r="KRG207" s="199"/>
      <c r="KRH207" s="199"/>
      <c r="KRI207" s="199"/>
      <c r="KRJ207" s="199"/>
      <c r="KRK207" s="199"/>
      <c r="KRL207" s="199"/>
      <c r="KRM207" s="199"/>
      <c r="KRN207" s="199"/>
      <c r="KRO207" s="199"/>
      <c r="KRP207" s="199"/>
      <c r="KRQ207" s="199"/>
      <c r="KRR207" s="199"/>
      <c r="KRS207" s="199"/>
      <c r="KRT207" s="199"/>
      <c r="KRU207" s="199"/>
      <c r="KRV207" s="199"/>
      <c r="KRW207" s="199"/>
      <c r="KRX207" s="199"/>
      <c r="KRY207" s="199"/>
      <c r="KRZ207" s="199"/>
      <c r="KSA207" s="199"/>
      <c r="KSB207" s="199"/>
      <c r="KSC207" s="199"/>
      <c r="KSD207" s="199"/>
      <c r="KSE207" s="199"/>
      <c r="KSF207" s="199"/>
      <c r="KSG207" s="199"/>
      <c r="KSH207" s="199"/>
      <c r="KSI207" s="199"/>
      <c r="KSJ207" s="199"/>
      <c r="KSK207" s="199"/>
      <c r="KSL207" s="199"/>
      <c r="KSM207" s="199"/>
      <c r="KSN207" s="199"/>
      <c r="KSO207" s="199"/>
      <c r="KSP207" s="199"/>
      <c r="KSQ207" s="199"/>
      <c r="KSR207" s="199"/>
      <c r="KSS207" s="199"/>
      <c r="KST207" s="199"/>
      <c r="KSU207" s="199"/>
      <c r="KSV207" s="199"/>
      <c r="KSW207" s="199"/>
      <c r="KSX207" s="199"/>
      <c r="KSY207" s="199"/>
      <c r="KSZ207" s="199"/>
      <c r="KTA207" s="199"/>
      <c r="KTB207" s="199"/>
      <c r="KTC207" s="199"/>
      <c r="KTD207" s="199"/>
      <c r="KTE207" s="199"/>
      <c r="KTF207" s="199"/>
      <c r="KTG207" s="199"/>
      <c r="KTH207" s="199"/>
      <c r="KTI207" s="199"/>
      <c r="KTJ207" s="199"/>
      <c r="KTK207" s="199"/>
      <c r="KTL207" s="199"/>
      <c r="KTM207" s="199"/>
      <c r="KTN207" s="199"/>
      <c r="KTO207" s="199"/>
      <c r="KTP207" s="199"/>
      <c r="KTQ207" s="199"/>
      <c r="KTR207" s="199"/>
      <c r="KTS207" s="199"/>
      <c r="KTT207" s="199"/>
      <c r="KTU207" s="199"/>
      <c r="KTV207" s="199"/>
      <c r="KTW207" s="199"/>
      <c r="KTX207" s="199"/>
      <c r="KTY207" s="199"/>
      <c r="KTZ207" s="199"/>
      <c r="KUA207" s="199"/>
      <c r="KUB207" s="199"/>
      <c r="KUC207" s="199"/>
      <c r="KUD207" s="199"/>
      <c r="KUE207" s="199"/>
      <c r="KUF207" s="199"/>
      <c r="KUG207" s="199"/>
      <c r="KUH207" s="199"/>
      <c r="KUI207" s="199"/>
      <c r="KUJ207" s="199"/>
      <c r="KUK207" s="199"/>
      <c r="KUL207" s="199"/>
      <c r="KUM207" s="199"/>
      <c r="KUN207" s="199"/>
      <c r="KUO207" s="199"/>
      <c r="KUP207" s="199"/>
      <c r="KUQ207" s="199"/>
      <c r="KUR207" s="199"/>
      <c r="KUS207" s="199"/>
      <c r="KUT207" s="199"/>
      <c r="KUU207" s="199"/>
      <c r="KUV207" s="199"/>
      <c r="KUW207" s="199"/>
      <c r="KUX207" s="199"/>
      <c r="KUY207" s="199"/>
      <c r="KUZ207" s="199"/>
      <c r="KVA207" s="199"/>
      <c r="KVB207" s="199"/>
      <c r="KVC207" s="199"/>
      <c r="KVD207" s="199"/>
      <c r="KVE207" s="199"/>
      <c r="KVF207" s="199"/>
      <c r="KVG207" s="199"/>
      <c r="KVH207" s="199"/>
      <c r="KVI207" s="199"/>
      <c r="KVJ207" s="199"/>
      <c r="KVK207" s="199"/>
      <c r="KVL207" s="199"/>
      <c r="KVM207" s="199"/>
      <c r="KVN207" s="199"/>
      <c r="KVO207" s="199"/>
      <c r="KVP207" s="199"/>
      <c r="KVQ207" s="199"/>
      <c r="KVR207" s="199"/>
      <c r="KVS207" s="199"/>
      <c r="KVT207" s="199"/>
      <c r="KVU207" s="199"/>
      <c r="KVV207" s="199"/>
      <c r="KVW207" s="199"/>
      <c r="KVX207" s="199"/>
      <c r="KVY207" s="199"/>
      <c r="KVZ207" s="199"/>
      <c r="KWA207" s="199"/>
      <c r="KWB207" s="199"/>
      <c r="KWC207" s="199"/>
      <c r="KWD207" s="199"/>
      <c r="KWE207" s="199"/>
      <c r="KWF207" s="199"/>
      <c r="KWG207" s="199"/>
      <c r="KWH207" s="199"/>
      <c r="KWI207" s="199"/>
      <c r="KWJ207" s="199"/>
      <c r="KWK207" s="199"/>
      <c r="KWL207" s="199"/>
      <c r="KWM207" s="199"/>
      <c r="KWN207" s="199"/>
      <c r="KWO207" s="199"/>
      <c r="KWP207" s="199"/>
      <c r="KWQ207" s="199"/>
      <c r="KWR207" s="199"/>
      <c r="KWS207" s="199"/>
      <c r="KWT207" s="199"/>
      <c r="KWU207" s="199"/>
      <c r="KWV207" s="199"/>
      <c r="KWW207" s="199"/>
      <c r="KWX207" s="199"/>
      <c r="KWY207" s="199"/>
      <c r="KWZ207" s="199"/>
      <c r="KXA207" s="199"/>
      <c r="KXB207" s="199"/>
      <c r="KXC207" s="199"/>
      <c r="KXD207" s="199"/>
      <c r="KXE207" s="199"/>
      <c r="KXF207" s="199"/>
      <c r="KXG207" s="199"/>
      <c r="KXH207" s="199"/>
      <c r="KXI207" s="199"/>
      <c r="KXJ207" s="199"/>
      <c r="KXK207" s="199"/>
      <c r="KXL207" s="199"/>
      <c r="KXM207" s="199"/>
      <c r="KXN207" s="199"/>
      <c r="KXO207" s="199"/>
      <c r="KXP207" s="199"/>
      <c r="KXQ207" s="199"/>
      <c r="KXR207" s="199"/>
      <c r="KXS207" s="199"/>
      <c r="KXT207" s="199"/>
      <c r="KXU207" s="199"/>
      <c r="KXV207" s="199"/>
      <c r="KXW207" s="199"/>
      <c r="KXX207" s="199"/>
      <c r="KXY207" s="199"/>
      <c r="KXZ207" s="199"/>
      <c r="KYA207" s="199"/>
      <c r="KYB207" s="199"/>
      <c r="KYC207" s="199"/>
      <c r="KYD207" s="199"/>
      <c r="KYE207" s="199"/>
      <c r="KYF207" s="199"/>
      <c r="KYG207" s="199"/>
      <c r="KYH207" s="199"/>
      <c r="KYI207" s="199"/>
      <c r="KYJ207" s="199"/>
      <c r="KYK207" s="199"/>
      <c r="KYL207" s="199"/>
      <c r="KYM207" s="199"/>
      <c r="KYN207" s="199"/>
      <c r="KYO207" s="199"/>
      <c r="KYP207" s="199"/>
      <c r="KYQ207" s="199"/>
      <c r="KYR207" s="199"/>
      <c r="KYS207" s="199"/>
      <c r="KYT207" s="199"/>
      <c r="KYU207" s="199"/>
      <c r="KYV207" s="199"/>
      <c r="KYW207" s="199"/>
      <c r="KYX207" s="199"/>
      <c r="KYY207" s="199"/>
      <c r="KYZ207" s="199"/>
      <c r="KZA207" s="199"/>
      <c r="KZB207" s="199"/>
      <c r="KZC207" s="199"/>
      <c r="KZD207" s="199"/>
      <c r="KZE207" s="199"/>
      <c r="KZF207" s="199"/>
      <c r="KZG207" s="199"/>
      <c r="KZH207" s="199"/>
      <c r="KZI207" s="199"/>
      <c r="KZJ207" s="199"/>
      <c r="KZK207" s="199"/>
      <c r="KZL207" s="199"/>
      <c r="KZM207" s="199"/>
      <c r="KZN207" s="199"/>
      <c r="KZO207" s="199"/>
      <c r="KZP207" s="199"/>
      <c r="KZQ207" s="199"/>
      <c r="KZR207" s="199"/>
      <c r="KZS207" s="199"/>
      <c r="KZT207" s="199"/>
      <c r="KZU207" s="199"/>
      <c r="KZV207" s="199"/>
      <c r="KZW207" s="199"/>
      <c r="KZX207" s="199"/>
      <c r="KZY207" s="199"/>
      <c r="KZZ207" s="199"/>
      <c r="LAA207" s="199"/>
      <c r="LAB207" s="199"/>
      <c r="LAC207" s="199"/>
      <c r="LAD207" s="199"/>
      <c r="LAE207" s="199"/>
      <c r="LAF207" s="199"/>
      <c r="LAG207" s="199"/>
      <c r="LAH207" s="199"/>
      <c r="LAI207" s="199"/>
      <c r="LAJ207" s="199"/>
      <c r="LAK207" s="199"/>
      <c r="LAL207" s="199"/>
      <c r="LAM207" s="199"/>
      <c r="LAN207" s="199"/>
      <c r="LAO207" s="199"/>
      <c r="LAP207" s="199"/>
      <c r="LAQ207" s="199"/>
      <c r="LAR207" s="199"/>
      <c r="LAS207" s="199"/>
      <c r="LAT207" s="199"/>
      <c r="LAU207" s="199"/>
      <c r="LAV207" s="199"/>
      <c r="LAW207" s="199"/>
      <c r="LAX207" s="199"/>
      <c r="LAY207" s="199"/>
      <c r="LAZ207" s="199"/>
      <c r="LBA207" s="199"/>
      <c r="LBB207" s="199"/>
      <c r="LBC207" s="199"/>
      <c r="LBD207" s="199"/>
      <c r="LBE207" s="199"/>
      <c r="LBF207" s="199"/>
      <c r="LBG207" s="199"/>
      <c r="LBH207" s="199"/>
      <c r="LBI207" s="199"/>
      <c r="LBJ207" s="199"/>
      <c r="LBK207" s="199"/>
      <c r="LBL207" s="199"/>
      <c r="LBM207" s="199"/>
      <c r="LBN207" s="199"/>
      <c r="LBO207" s="199"/>
      <c r="LBP207" s="199"/>
      <c r="LBQ207" s="199"/>
      <c r="LBR207" s="199"/>
      <c r="LBS207" s="199"/>
      <c r="LBT207" s="199"/>
      <c r="LBU207" s="199"/>
      <c r="LBV207" s="199"/>
      <c r="LBW207" s="199"/>
      <c r="LBX207" s="199"/>
      <c r="LBY207" s="199"/>
      <c r="LBZ207" s="199"/>
      <c r="LCA207" s="199"/>
      <c r="LCB207" s="199"/>
      <c r="LCC207" s="199"/>
      <c r="LCD207" s="199"/>
      <c r="LCE207" s="199"/>
      <c r="LCF207" s="199"/>
      <c r="LCG207" s="199"/>
      <c r="LCH207" s="199"/>
      <c r="LCI207" s="199"/>
      <c r="LCJ207" s="199"/>
      <c r="LCK207" s="199"/>
      <c r="LCL207" s="199"/>
      <c r="LCM207" s="199"/>
      <c r="LCN207" s="199"/>
      <c r="LCO207" s="199"/>
      <c r="LCP207" s="199"/>
      <c r="LCQ207" s="199"/>
      <c r="LCR207" s="199"/>
      <c r="LCS207" s="199"/>
      <c r="LCT207" s="199"/>
      <c r="LCU207" s="199"/>
      <c r="LCV207" s="199"/>
      <c r="LCW207" s="199"/>
      <c r="LCX207" s="199"/>
      <c r="LCY207" s="199"/>
      <c r="LCZ207" s="199"/>
      <c r="LDA207" s="199"/>
      <c r="LDB207" s="199"/>
      <c r="LDC207" s="199"/>
      <c r="LDD207" s="199"/>
      <c r="LDE207" s="199"/>
      <c r="LDF207" s="199"/>
      <c r="LDG207" s="199"/>
      <c r="LDH207" s="199"/>
      <c r="LDI207" s="199"/>
      <c r="LDJ207" s="199"/>
      <c r="LDK207" s="199"/>
      <c r="LDL207" s="199"/>
      <c r="LDM207" s="199"/>
      <c r="LDN207" s="199"/>
      <c r="LDO207" s="199"/>
      <c r="LDP207" s="199"/>
      <c r="LDQ207" s="199"/>
      <c r="LDR207" s="199"/>
      <c r="LDS207" s="199"/>
      <c r="LDT207" s="199"/>
      <c r="LDU207" s="199"/>
      <c r="LDV207" s="199"/>
      <c r="LDW207" s="199"/>
      <c r="LDX207" s="199"/>
      <c r="LDY207" s="199"/>
      <c r="LDZ207" s="199"/>
      <c r="LEA207" s="199"/>
      <c r="LEB207" s="199"/>
      <c r="LEC207" s="199"/>
      <c r="LED207" s="199"/>
      <c r="LEE207" s="199"/>
      <c r="LEF207" s="199"/>
      <c r="LEG207" s="199"/>
      <c r="LEH207" s="199"/>
      <c r="LEI207" s="199"/>
      <c r="LEJ207" s="199"/>
      <c r="LEK207" s="199"/>
      <c r="LEL207" s="199"/>
      <c r="LEM207" s="199"/>
      <c r="LEN207" s="199"/>
      <c r="LEO207" s="199"/>
      <c r="LEP207" s="199"/>
      <c r="LEQ207" s="199"/>
      <c r="LER207" s="199"/>
      <c r="LES207" s="199"/>
      <c r="LET207" s="199"/>
      <c r="LEU207" s="199"/>
      <c r="LEV207" s="199"/>
      <c r="LEW207" s="199"/>
      <c r="LEX207" s="199"/>
      <c r="LEY207" s="199"/>
      <c r="LEZ207" s="199"/>
      <c r="LFA207" s="199"/>
      <c r="LFB207" s="199"/>
      <c r="LFC207" s="199"/>
      <c r="LFD207" s="199"/>
      <c r="LFE207" s="199"/>
      <c r="LFF207" s="199"/>
      <c r="LFG207" s="199"/>
      <c r="LFH207" s="199"/>
      <c r="LFI207" s="199"/>
      <c r="LFJ207" s="199"/>
      <c r="LFK207" s="199"/>
      <c r="LFL207" s="199"/>
      <c r="LFM207" s="199"/>
      <c r="LFN207" s="199"/>
      <c r="LFO207" s="199"/>
      <c r="LFP207" s="199"/>
      <c r="LFQ207" s="199"/>
      <c r="LFR207" s="199"/>
      <c r="LFS207" s="199"/>
      <c r="LFT207" s="199"/>
      <c r="LFU207" s="199"/>
      <c r="LFV207" s="199"/>
      <c r="LFW207" s="199"/>
      <c r="LFX207" s="199"/>
      <c r="LFY207" s="199"/>
      <c r="LFZ207" s="199"/>
      <c r="LGA207" s="199"/>
      <c r="LGB207" s="199"/>
      <c r="LGC207" s="199"/>
      <c r="LGD207" s="199"/>
      <c r="LGE207" s="199"/>
      <c r="LGF207" s="199"/>
      <c r="LGG207" s="199"/>
      <c r="LGH207" s="199"/>
      <c r="LGI207" s="199"/>
      <c r="LGJ207" s="199"/>
      <c r="LGK207" s="199"/>
      <c r="LGL207" s="199"/>
      <c r="LGM207" s="199"/>
      <c r="LGN207" s="199"/>
      <c r="LGO207" s="199"/>
      <c r="LGP207" s="199"/>
      <c r="LGQ207" s="199"/>
      <c r="LGR207" s="199"/>
      <c r="LGS207" s="199"/>
      <c r="LGT207" s="199"/>
      <c r="LGU207" s="199"/>
      <c r="LGV207" s="199"/>
      <c r="LGW207" s="199"/>
      <c r="LGX207" s="199"/>
      <c r="LGY207" s="199"/>
      <c r="LGZ207" s="199"/>
      <c r="LHA207" s="199"/>
      <c r="LHB207" s="199"/>
      <c r="LHC207" s="199"/>
      <c r="LHD207" s="199"/>
      <c r="LHE207" s="199"/>
      <c r="LHF207" s="199"/>
      <c r="LHG207" s="199"/>
      <c r="LHH207" s="199"/>
      <c r="LHI207" s="199"/>
      <c r="LHJ207" s="199"/>
      <c r="LHK207" s="199"/>
      <c r="LHL207" s="199"/>
      <c r="LHM207" s="199"/>
      <c r="LHN207" s="199"/>
      <c r="LHO207" s="199"/>
      <c r="LHP207" s="199"/>
      <c r="LHQ207" s="199"/>
      <c r="LHR207" s="199"/>
      <c r="LHS207" s="199"/>
      <c r="LHT207" s="199"/>
      <c r="LHU207" s="199"/>
      <c r="LHV207" s="199"/>
      <c r="LHW207" s="199"/>
      <c r="LHX207" s="199"/>
      <c r="LHY207" s="199"/>
      <c r="LHZ207" s="199"/>
      <c r="LIA207" s="199"/>
      <c r="LIB207" s="199"/>
      <c r="LIC207" s="199"/>
      <c r="LID207" s="199"/>
      <c r="LIE207" s="199"/>
      <c r="LIF207" s="199"/>
      <c r="LIG207" s="199"/>
      <c r="LIH207" s="199"/>
      <c r="LII207" s="199"/>
      <c r="LIJ207" s="199"/>
      <c r="LIK207" s="199"/>
      <c r="LIL207" s="199"/>
      <c r="LIM207" s="199"/>
      <c r="LIN207" s="199"/>
      <c r="LIO207" s="199"/>
      <c r="LIP207" s="199"/>
      <c r="LIQ207" s="199"/>
      <c r="LIR207" s="199"/>
      <c r="LIS207" s="199"/>
      <c r="LIT207" s="199"/>
      <c r="LIU207" s="199"/>
      <c r="LIV207" s="199"/>
      <c r="LIW207" s="199"/>
      <c r="LIX207" s="199"/>
      <c r="LIY207" s="199"/>
      <c r="LIZ207" s="199"/>
      <c r="LJA207" s="199"/>
      <c r="LJB207" s="199"/>
      <c r="LJC207" s="199"/>
      <c r="LJD207" s="199"/>
      <c r="LJE207" s="199"/>
      <c r="LJF207" s="199"/>
      <c r="LJG207" s="199"/>
      <c r="LJH207" s="199"/>
      <c r="LJI207" s="199"/>
      <c r="LJJ207" s="199"/>
      <c r="LJK207" s="199"/>
      <c r="LJL207" s="199"/>
      <c r="LJM207" s="199"/>
      <c r="LJN207" s="199"/>
      <c r="LJO207" s="199"/>
      <c r="LJP207" s="199"/>
      <c r="LJQ207" s="199"/>
      <c r="LJR207" s="199"/>
      <c r="LJS207" s="199"/>
      <c r="LJT207" s="199"/>
      <c r="LJU207" s="199"/>
      <c r="LJV207" s="199"/>
      <c r="LJW207" s="199"/>
      <c r="LJX207" s="199"/>
      <c r="LJY207" s="199"/>
      <c r="LJZ207" s="199"/>
      <c r="LKA207" s="199"/>
      <c r="LKB207" s="199"/>
      <c r="LKC207" s="199"/>
      <c r="LKD207" s="199"/>
      <c r="LKE207" s="199"/>
      <c r="LKF207" s="199"/>
      <c r="LKG207" s="199"/>
      <c r="LKH207" s="199"/>
      <c r="LKI207" s="199"/>
      <c r="LKJ207" s="199"/>
      <c r="LKK207" s="199"/>
      <c r="LKL207" s="199"/>
      <c r="LKM207" s="199"/>
      <c r="LKN207" s="199"/>
      <c r="LKO207" s="199"/>
      <c r="LKP207" s="199"/>
      <c r="LKQ207" s="199"/>
      <c r="LKR207" s="199"/>
      <c r="LKS207" s="199"/>
      <c r="LKT207" s="199"/>
      <c r="LKU207" s="199"/>
      <c r="LKV207" s="199"/>
      <c r="LKW207" s="199"/>
      <c r="LKX207" s="199"/>
      <c r="LKY207" s="199"/>
      <c r="LKZ207" s="199"/>
      <c r="LLA207" s="199"/>
      <c r="LLB207" s="199"/>
      <c r="LLC207" s="199"/>
      <c r="LLD207" s="199"/>
      <c r="LLE207" s="199"/>
      <c r="LLF207" s="199"/>
      <c r="LLG207" s="199"/>
      <c r="LLH207" s="199"/>
      <c r="LLI207" s="199"/>
      <c r="LLJ207" s="199"/>
      <c r="LLK207" s="199"/>
      <c r="LLL207" s="199"/>
      <c r="LLM207" s="199"/>
      <c r="LLN207" s="199"/>
      <c r="LLO207" s="199"/>
      <c r="LLP207" s="199"/>
      <c r="LLQ207" s="199"/>
      <c r="LLR207" s="199"/>
      <c r="LLS207" s="199"/>
      <c r="LLT207" s="199"/>
      <c r="LLU207" s="199"/>
      <c r="LLV207" s="199"/>
      <c r="LLW207" s="199"/>
      <c r="LLX207" s="199"/>
      <c r="LLY207" s="199"/>
      <c r="LLZ207" s="199"/>
      <c r="LMA207" s="199"/>
      <c r="LMB207" s="199"/>
      <c r="LMC207" s="199"/>
      <c r="LMD207" s="199"/>
      <c r="LME207" s="199"/>
      <c r="LMF207" s="199"/>
      <c r="LMG207" s="199"/>
      <c r="LMH207" s="199"/>
      <c r="LMI207" s="199"/>
      <c r="LMJ207" s="199"/>
      <c r="LMK207" s="199"/>
      <c r="LML207" s="199"/>
      <c r="LMM207" s="199"/>
      <c r="LMN207" s="199"/>
      <c r="LMO207" s="199"/>
      <c r="LMP207" s="199"/>
      <c r="LMQ207" s="199"/>
      <c r="LMR207" s="199"/>
      <c r="LMS207" s="199"/>
      <c r="LMT207" s="199"/>
      <c r="LMU207" s="199"/>
      <c r="LMV207" s="199"/>
      <c r="LMW207" s="199"/>
      <c r="LMX207" s="199"/>
      <c r="LMY207" s="199"/>
      <c r="LMZ207" s="199"/>
      <c r="LNA207" s="199"/>
      <c r="LNB207" s="199"/>
      <c r="LNC207" s="199"/>
      <c r="LND207" s="199"/>
      <c r="LNE207" s="199"/>
      <c r="LNF207" s="199"/>
      <c r="LNG207" s="199"/>
      <c r="LNH207" s="199"/>
      <c r="LNI207" s="199"/>
      <c r="LNJ207" s="199"/>
      <c r="LNK207" s="199"/>
      <c r="LNL207" s="199"/>
      <c r="LNM207" s="199"/>
      <c r="LNN207" s="199"/>
      <c r="LNO207" s="199"/>
      <c r="LNP207" s="199"/>
      <c r="LNQ207" s="199"/>
      <c r="LNR207" s="199"/>
      <c r="LNS207" s="199"/>
      <c r="LNT207" s="199"/>
      <c r="LNU207" s="199"/>
      <c r="LNV207" s="199"/>
      <c r="LNW207" s="199"/>
      <c r="LNX207" s="199"/>
      <c r="LNY207" s="199"/>
      <c r="LNZ207" s="199"/>
      <c r="LOA207" s="199"/>
      <c r="LOB207" s="199"/>
      <c r="LOC207" s="199"/>
      <c r="LOD207" s="199"/>
      <c r="LOE207" s="199"/>
      <c r="LOF207" s="199"/>
      <c r="LOG207" s="199"/>
      <c r="LOH207" s="199"/>
      <c r="LOI207" s="199"/>
      <c r="LOJ207" s="199"/>
      <c r="LOK207" s="199"/>
      <c r="LOL207" s="199"/>
      <c r="LOM207" s="199"/>
      <c r="LON207" s="199"/>
      <c r="LOO207" s="199"/>
      <c r="LOP207" s="199"/>
      <c r="LOQ207" s="199"/>
      <c r="LOR207" s="199"/>
      <c r="LOS207" s="199"/>
      <c r="LOT207" s="199"/>
      <c r="LOU207" s="199"/>
      <c r="LOV207" s="199"/>
      <c r="LOW207" s="199"/>
      <c r="LOX207" s="199"/>
      <c r="LOY207" s="199"/>
      <c r="LOZ207" s="199"/>
      <c r="LPA207" s="199"/>
      <c r="LPB207" s="199"/>
      <c r="LPC207" s="199"/>
      <c r="LPD207" s="199"/>
      <c r="LPE207" s="199"/>
      <c r="LPF207" s="199"/>
      <c r="LPG207" s="199"/>
      <c r="LPH207" s="199"/>
      <c r="LPI207" s="199"/>
      <c r="LPJ207" s="199"/>
      <c r="LPK207" s="199"/>
      <c r="LPL207" s="199"/>
      <c r="LPM207" s="199"/>
      <c r="LPN207" s="199"/>
      <c r="LPO207" s="199"/>
      <c r="LPP207" s="199"/>
      <c r="LPQ207" s="199"/>
      <c r="LPR207" s="199"/>
      <c r="LPS207" s="199"/>
      <c r="LPT207" s="199"/>
      <c r="LPU207" s="199"/>
      <c r="LPV207" s="199"/>
      <c r="LPW207" s="199"/>
      <c r="LPX207" s="199"/>
      <c r="LPY207" s="199"/>
      <c r="LPZ207" s="199"/>
      <c r="LQA207" s="199"/>
      <c r="LQB207" s="199"/>
      <c r="LQC207" s="199"/>
      <c r="LQD207" s="199"/>
      <c r="LQE207" s="199"/>
      <c r="LQF207" s="199"/>
      <c r="LQG207" s="199"/>
      <c r="LQH207" s="199"/>
      <c r="LQI207" s="199"/>
      <c r="LQJ207" s="199"/>
      <c r="LQK207" s="199"/>
      <c r="LQL207" s="199"/>
      <c r="LQM207" s="199"/>
      <c r="LQN207" s="199"/>
      <c r="LQO207" s="199"/>
      <c r="LQP207" s="199"/>
      <c r="LQQ207" s="199"/>
      <c r="LQR207" s="199"/>
      <c r="LQS207" s="199"/>
      <c r="LQT207" s="199"/>
      <c r="LQU207" s="199"/>
      <c r="LQV207" s="199"/>
      <c r="LQW207" s="199"/>
      <c r="LQX207" s="199"/>
      <c r="LQY207" s="199"/>
      <c r="LQZ207" s="199"/>
      <c r="LRA207" s="199"/>
      <c r="LRB207" s="199"/>
      <c r="LRC207" s="199"/>
      <c r="LRD207" s="199"/>
      <c r="LRE207" s="199"/>
      <c r="LRF207" s="199"/>
      <c r="LRG207" s="199"/>
      <c r="LRH207" s="199"/>
      <c r="LRI207" s="199"/>
      <c r="LRJ207" s="199"/>
      <c r="LRK207" s="199"/>
      <c r="LRL207" s="199"/>
      <c r="LRM207" s="199"/>
      <c r="LRN207" s="199"/>
      <c r="LRO207" s="199"/>
      <c r="LRP207" s="199"/>
      <c r="LRQ207" s="199"/>
      <c r="LRR207" s="199"/>
      <c r="LRS207" s="199"/>
      <c r="LRT207" s="199"/>
      <c r="LRU207" s="199"/>
      <c r="LRV207" s="199"/>
      <c r="LRW207" s="199"/>
      <c r="LRX207" s="199"/>
      <c r="LRY207" s="199"/>
      <c r="LRZ207" s="199"/>
      <c r="LSA207" s="199"/>
      <c r="LSB207" s="199"/>
      <c r="LSC207" s="199"/>
      <c r="LSD207" s="199"/>
      <c r="LSE207" s="199"/>
      <c r="LSF207" s="199"/>
      <c r="LSG207" s="199"/>
      <c r="LSH207" s="199"/>
      <c r="LSI207" s="199"/>
      <c r="LSJ207" s="199"/>
      <c r="LSK207" s="199"/>
      <c r="LSL207" s="199"/>
      <c r="LSM207" s="199"/>
      <c r="LSN207" s="199"/>
      <c r="LSO207" s="199"/>
      <c r="LSP207" s="199"/>
      <c r="LSQ207" s="199"/>
      <c r="LSR207" s="199"/>
      <c r="LSS207" s="199"/>
      <c r="LST207" s="199"/>
      <c r="LSU207" s="199"/>
      <c r="LSV207" s="199"/>
      <c r="LSW207" s="199"/>
      <c r="LSX207" s="199"/>
      <c r="LSY207" s="199"/>
      <c r="LSZ207" s="199"/>
      <c r="LTA207" s="199"/>
      <c r="LTB207" s="199"/>
      <c r="LTC207" s="199"/>
      <c r="LTD207" s="199"/>
      <c r="LTE207" s="199"/>
      <c r="LTF207" s="199"/>
      <c r="LTG207" s="199"/>
      <c r="LTH207" s="199"/>
      <c r="LTI207" s="199"/>
      <c r="LTJ207" s="199"/>
      <c r="LTK207" s="199"/>
      <c r="LTL207" s="199"/>
      <c r="LTM207" s="199"/>
      <c r="LTN207" s="199"/>
      <c r="LTO207" s="199"/>
      <c r="LTP207" s="199"/>
      <c r="LTQ207" s="199"/>
      <c r="LTR207" s="199"/>
      <c r="LTS207" s="199"/>
      <c r="LTT207" s="199"/>
      <c r="LTU207" s="199"/>
      <c r="LTV207" s="199"/>
      <c r="LTW207" s="199"/>
      <c r="LTX207" s="199"/>
      <c r="LTY207" s="199"/>
      <c r="LTZ207" s="199"/>
      <c r="LUA207" s="199"/>
      <c r="LUB207" s="199"/>
      <c r="LUC207" s="199"/>
      <c r="LUD207" s="199"/>
      <c r="LUE207" s="199"/>
      <c r="LUF207" s="199"/>
      <c r="LUG207" s="199"/>
      <c r="LUH207" s="199"/>
      <c r="LUI207" s="199"/>
      <c r="LUJ207" s="199"/>
      <c r="LUK207" s="199"/>
      <c r="LUL207" s="199"/>
      <c r="LUM207" s="199"/>
      <c r="LUN207" s="199"/>
      <c r="LUO207" s="199"/>
      <c r="LUP207" s="199"/>
      <c r="LUQ207" s="199"/>
      <c r="LUR207" s="199"/>
      <c r="LUS207" s="199"/>
      <c r="LUT207" s="199"/>
      <c r="LUU207" s="199"/>
      <c r="LUV207" s="199"/>
      <c r="LUW207" s="199"/>
      <c r="LUX207" s="199"/>
      <c r="LUY207" s="199"/>
      <c r="LUZ207" s="199"/>
      <c r="LVA207" s="199"/>
      <c r="LVB207" s="199"/>
      <c r="LVC207" s="199"/>
      <c r="LVD207" s="199"/>
      <c r="LVE207" s="199"/>
      <c r="LVF207" s="199"/>
      <c r="LVG207" s="199"/>
      <c r="LVH207" s="199"/>
      <c r="LVI207" s="199"/>
      <c r="LVJ207" s="199"/>
      <c r="LVK207" s="199"/>
      <c r="LVL207" s="199"/>
      <c r="LVM207" s="199"/>
      <c r="LVN207" s="199"/>
      <c r="LVO207" s="199"/>
      <c r="LVP207" s="199"/>
      <c r="LVQ207" s="199"/>
      <c r="LVR207" s="199"/>
      <c r="LVS207" s="199"/>
      <c r="LVT207" s="199"/>
      <c r="LVU207" s="199"/>
      <c r="LVV207" s="199"/>
      <c r="LVW207" s="199"/>
      <c r="LVX207" s="199"/>
      <c r="LVY207" s="199"/>
      <c r="LVZ207" s="199"/>
      <c r="LWA207" s="199"/>
      <c r="LWB207" s="199"/>
      <c r="LWC207" s="199"/>
      <c r="LWD207" s="199"/>
      <c r="LWE207" s="199"/>
      <c r="LWF207" s="199"/>
      <c r="LWG207" s="199"/>
      <c r="LWH207" s="199"/>
      <c r="LWI207" s="199"/>
      <c r="LWJ207" s="199"/>
      <c r="LWK207" s="199"/>
      <c r="LWL207" s="199"/>
      <c r="LWM207" s="199"/>
      <c r="LWN207" s="199"/>
      <c r="LWO207" s="199"/>
      <c r="LWP207" s="199"/>
      <c r="LWQ207" s="199"/>
      <c r="LWR207" s="199"/>
      <c r="LWS207" s="199"/>
      <c r="LWT207" s="199"/>
      <c r="LWU207" s="199"/>
      <c r="LWV207" s="199"/>
      <c r="LWW207" s="199"/>
      <c r="LWX207" s="199"/>
      <c r="LWY207" s="199"/>
      <c r="LWZ207" s="199"/>
      <c r="LXA207" s="199"/>
      <c r="LXB207" s="199"/>
      <c r="LXC207" s="199"/>
      <c r="LXD207" s="199"/>
      <c r="LXE207" s="199"/>
      <c r="LXF207" s="199"/>
      <c r="LXG207" s="199"/>
      <c r="LXH207" s="199"/>
      <c r="LXI207" s="199"/>
      <c r="LXJ207" s="199"/>
      <c r="LXK207" s="199"/>
      <c r="LXL207" s="199"/>
      <c r="LXM207" s="199"/>
      <c r="LXN207" s="199"/>
      <c r="LXO207" s="199"/>
      <c r="LXP207" s="199"/>
      <c r="LXQ207" s="199"/>
      <c r="LXR207" s="199"/>
      <c r="LXS207" s="199"/>
      <c r="LXT207" s="199"/>
      <c r="LXU207" s="199"/>
      <c r="LXV207" s="199"/>
      <c r="LXW207" s="199"/>
      <c r="LXX207" s="199"/>
      <c r="LXY207" s="199"/>
      <c r="LXZ207" s="199"/>
      <c r="LYA207" s="199"/>
      <c r="LYB207" s="199"/>
      <c r="LYC207" s="199"/>
      <c r="LYD207" s="199"/>
      <c r="LYE207" s="199"/>
      <c r="LYF207" s="199"/>
      <c r="LYG207" s="199"/>
      <c r="LYH207" s="199"/>
      <c r="LYI207" s="199"/>
      <c r="LYJ207" s="199"/>
      <c r="LYK207" s="199"/>
      <c r="LYL207" s="199"/>
      <c r="LYM207" s="199"/>
      <c r="LYN207" s="199"/>
      <c r="LYO207" s="199"/>
      <c r="LYP207" s="199"/>
      <c r="LYQ207" s="199"/>
      <c r="LYR207" s="199"/>
      <c r="LYS207" s="199"/>
      <c r="LYT207" s="199"/>
      <c r="LYU207" s="199"/>
      <c r="LYV207" s="199"/>
      <c r="LYW207" s="199"/>
      <c r="LYX207" s="199"/>
      <c r="LYY207" s="199"/>
      <c r="LYZ207" s="199"/>
      <c r="LZA207" s="199"/>
      <c r="LZB207" s="199"/>
      <c r="LZC207" s="199"/>
      <c r="LZD207" s="199"/>
      <c r="LZE207" s="199"/>
      <c r="LZF207" s="199"/>
      <c r="LZG207" s="199"/>
      <c r="LZH207" s="199"/>
      <c r="LZI207" s="199"/>
      <c r="LZJ207" s="199"/>
      <c r="LZK207" s="199"/>
      <c r="LZL207" s="199"/>
      <c r="LZM207" s="199"/>
      <c r="LZN207" s="199"/>
      <c r="LZO207" s="199"/>
      <c r="LZP207" s="199"/>
      <c r="LZQ207" s="199"/>
      <c r="LZR207" s="199"/>
      <c r="LZS207" s="199"/>
      <c r="LZT207" s="199"/>
      <c r="LZU207" s="199"/>
      <c r="LZV207" s="199"/>
      <c r="LZW207" s="199"/>
      <c r="LZX207" s="199"/>
      <c r="LZY207" s="199"/>
      <c r="LZZ207" s="199"/>
      <c r="MAA207" s="199"/>
      <c r="MAB207" s="199"/>
      <c r="MAC207" s="199"/>
      <c r="MAD207" s="199"/>
      <c r="MAE207" s="199"/>
      <c r="MAF207" s="199"/>
      <c r="MAG207" s="199"/>
      <c r="MAH207" s="199"/>
      <c r="MAI207" s="199"/>
      <c r="MAJ207" s="199"/>
      <c r="MAK207" s="199"/>
      <c r="MAL207" s="199"/>
      <c r="MAM207" s="199"/>
      <c r="MAN207" s="199"/>
      <c r="MAO207" s="199"/>
      <c r="MAP207" s="199"/>
      <c r="MAQ207" s="199"/>
      <c r="MAR207" s="199"/>
      <c r="MAS207" s="199"/>
      <c r="MAT207" s="199"/>
      <c r="MAU207" s="199"/>
      <c r="MAV207" s="199"/>
      <c r="MAW207" s="199"/>
      <c r="MAX207" s="199"/>
      <c r="MAY207" s="199"/>
      <c r="MAZ207" s="199"/>
      <c r="MBA207" s="199"/>
      <c r="MBB207" s="199"/>
      <c r="MBC207" s="199"/>
      <c r="MBD207" s="199"/>
      <c r="MBE207" s="199"/>
      <c r="MBF207" s="199"/>
      <c r="MBG207" s="199"/>
      <c r="MBH207" s="199"/>
      <c r="MBI207" s="199"/>
      <c r="MBJ207" s="199"/>
      <c r="MBK207" s="199"/>
      <c r="MBL207" s="199"/>
      <c r="MBM207" s="199"/>
      <c r="MBN207" s="199"/>
      <c r="MBO207" s="199"/>
      <c r="MBP207" s="199"/>
      <c r="MBQ207" s="199"/>
      <c r="MBR207" s="199"/>
      <c r="MBS207" s="199"/>
      <c r="MBT207" s="199"/>
      <c r="MBU207" s="199"/>
      <c r="MBV207" s="199"/>
      <c r="MBW207" s="199"/>
      <c r="MBX207" s="199"/>
      <c r="MBY207" s="199"/>
      <c r="MBZ207" s="199"/>
      <c r="MCA207" s="199"/>
      <c r="MCB207" s="199"/>
      <c r="MCC207" s="199"/>
      <c r="MCD207" s="199"/>
      <c r="MCE207" s="199"/>
      <c r="MCF207" s="199"/>
      <c r="MCG207" s="199"/>
      <c r="MCH207" s="199"/>
      <c r="MCI207" s="199"/>
      <c r="MCJ207" s="199"/>
      <c r="MCK207" s="199"/>
      <c r="MCL207" s="199"/>
      <c r="MCM207" s="199"/>
      <c r="MCN207" s="199"/>
      <c r="MCO207" s="199"/>
      <c r="MCP207" s="199"/>
      <c r="MCQ207" s="199"/>
      <c r="MCR207" s="199"/>
      <c r="MCS207" s="199"/>
      <c r="MCT207" s="199"/>
      <c r="MCU207" s="199"/>
      <c r="MCV207" s="199"/>
      <c r="MCW207" s="199"/>
      <c r="MCX207" s="199"/>
      <c r="MCY207" s="199"/>
      <c r="MCZ207" s="199"/>
      <c r="MDA207" s="199"/>
      <c r="MDB207" s="199"/>
      <c r="MDC207" s="199"/>
      <c r="MDD207" s="199"/>
      <c r="MDE207" s="199"/>
      <c r="MDF207" s="199"/>
      <c r="MDG207" s="199"/>
      <c r="MDH207" s="199"/>
      <c r="MDI207" s="199"/>
      <c r="MDJ207" s="199"/>
      <c r="MDK207" s="199"/>
      <c r="MDL207" s="199"/>
      <c r="MDM207" s="199"/>
      <c r="MDN207" s="199"/>
      <c r="MDO207" s="199"/>
      <c r="MDP207" s="199"/>
      <c r="MDQ207" s="199"/>
      <c r="MDR207" s="199"/>
      <c r="MDS207" s="199"/>
      <c r="MDT207" s="199"/>
      <c r="MDU207" s="199"/>
      <c r="MDV207" s="199"/>
      <c r="MDW207" s="199"/>
      <c r="MDX207" s="199"/>
      <c r="MDY207" s="199"/>
      <c r="MDZ207" s="199"/>
      <c r="MEA207" s="199"/>
      <c r="MEB207" s="199"/>
      <c r="MEC207" s="199"/>
      <c r="MED207" s="199"/>
      <c r="MEE207" s="199"/>
      <c r="MEF207" s="199"/>
      <c r="MEG207" s="199"/>
      <c r="MEH207" s="199"/>
      <c r="MEI207" s="199"/>
      <c r="MEJ207" s="199"/>
      <c r="MEK207" s="199"/>
      <c r="MEL207" s="199"/>
      <c r="MEM207" s="199"/>
      <c r="MEN207" s="199"/>
      <c r="MEO207" s="199"/>
      <c r="MEP207" s="199"/>
      <c r="MEQ207" s="199"/>
      <c r="MER207" s="199"/>
      <c r="MES207" s="199"/>
      <c r="MET207" s="199"/>
      <c r="MEU207" s="199"/>
      <c r="MEV207" s="199"/>
      <c r="MEW207" s="199"/>
      <c r="MEX207" s="199"/>
      <c r="MEY207" s="199"/>
      <c r="MEZ207" s="199"/>
      <c r="MFA207" s="199"/>
      <c r="MFB207" s="199"/>
      <c r="MFC207" s="199"/>
      <c r="MFD207" s="199"/>
      <c r="MFE207" s="199"/>
      <c r="MFF207" s="199"/>
      <c r="MFG207" s="199"/>
      <c r="MFH207" s="199"/>
      <c r="MFI207" s="199"/>
      <c r="MFJ207" s="199"/>
      <c r="MFK207" s="199"/>
      <c r="MFL207" s="199"/>
      <c r="MFM207" s="199"/>
      <c r="MFN207" s="199"/>
      <c r="MFO207" s="199"/>
      <c r="MFP207" s="199"/>
      <c r="MFQ207" s="199"/>
      <c r="MFR207" s="199"/>
      <c r="MFS207" s="199"/>
      <c r="MFT207" s="199"/>
      <c r="MFU207" s="199"/>
      <c r="MFV207" s="199"/>
      <c r="MFW207" s="199"/>
      <c r="MFX207" s="199"/>
      <c r="MFY207" s="199"/>
      <c r="MFZ207" s="199"/>
      <c r="MGA207" s="199"/>
      <c r="MGB207" s="199"/>
      <c r="MGC207" s="199"/>
      <c r="MGD207" s="199"/>
      <c r="MGE207" s="199"/>
      <c r="MGF207" s="199"/>
      <c r="MGG207" s="199"/>
      <c r="MGH207" s="199"/>
      <c r="MGI207" s="199"/>
      <c r="MGJ207" s="199"/>
      <c r="MGK207" s="199"/>
      <c r="MGL207" s="199"/>
      <c r="MGM207" s="199"/>
      <c r="MGN207" s="199"/>
      <c r="MGO207" s="199"/>
      <c r="MGP207" s="199"/>
      <c r="MGQ207" s="199"/>
      <c r="MGR207" s="199"/>
      <c r="MGS207" s="199"/>
      <c r="MGT207" s="199"/>
      <c r="MGU207" s="199"/>
      <c r="MGV207" s="199"/>
      <c r="MGW207" s="199"/>
      <c r="MGX207" s="199"/>
      <c r="MGY207" s="199"/>
      <c r="MGZ207" s="199"/>
      <c r="MHA207" s="199"/>
      <c r="MHB207" s="199"/>
      <c r="MHC207" s="199"/>
      <c r="MHD207" s="199"/>
      <c r="MHE207" s="199"/>
      <c r="MHF207" s="199"/>
      <c r="MHG207" s="199"/>
      <c r="MHH207" s="199"/>
      <c r="MHI207" s="199"/>
      <c r="MHJ207" s="199"/>
      <c r="MHK207" s="199"/>
      <c r="MHL207" s="199"/>
      <c r="MHM207" s="199"/>
      <c r="MHN207" s="199"/>
      <c r="MHO207" s="199"/>
      <c r="MHP207" s="199"/>
      <c r="MHQ207" s="199"/>
      <c r="MHR207" s="199"/>
      <c r="MHS207" s="199"/>
      <c r="MHT207" s="199"/>
      <c r="MHU207" s="199"/>
      <c r="MHV207" s="199"/>
      <c r="MHW207" s="199"/>
      <c r="MHX207" s="199"/>
      <c r="MHY207" s="199"/>
      <c r="MHZ207" s="199"/>
      <c r="MIA207" s="199"/>
      <c r="MIB207" s="199"/>
      <c r="MIC207" s="199"/>
      <c r="MID207" s="199"/>
      <c r="MIE207" s="199"/>
      <c r="MIF207" s="199"/>
      <c r="MIG207" s="199"/>
      <c r="MIH207" s="199"/>
      <c r="MII207" s="199"/>
      <c r="MIJ207" s="199"/>
      <c r="MIK207" s="199"/>
      <c r="MIL207" s="199"/>
      <c r="MIM207" s="199"/>
      <c r="MIN207" s="199"/>
      <c r="MIO207" s="199"/>
      <c r="MIP207" s="199"/>
      <c r="MIQ207" s="199"/>
      <c r="MIR207" s="199"/>
      <c r="MIS207" s="199"/>
      <c r="MIT207" s="199"/>
      <c r="MIU207" s="199"/>
      <c r="MIV207" s="199"/>
      <c r="MIW207" s="199"/>
      <c r="MIX207" s="199"/>
      <c r="MIY207" s="199"/>
      <c r="MIZ207" s="199"/>
      <c r="MJA207" s="199"/>
      <c r="MJB207" s="199"/>
      <c r="MJC207" s="199"/>
      <c r="MJD207" s="199"/>
      <c r="MJE207" s="199"/>
      <c r="MJF207" s="199"/>
      <c r="MJG207" s="199"/>
      <c r="MJH207" s="199"/>
      <c r="MJI207" s="199"/>
      <c r="MJJ207" s="199"/>
      <c r="MJK207" s="199"/>
      <c r="MJL207" s="199"/>
      <c r="MJM207" s="199"/>
      <c r="MJN207" s="199"/>
      <c r="MJO207" s="199"/>
      <c r="MJP207" s="199"/>
      <c r="MJQ207" s="199"/>
      <c r="MJR207" s="199"/>
      <c r="MJS207" s="199"/>
      <c r="MJT207" s="199"/>
      <c r="MJU207" s="199"/>
      <c r="MJV207" s="199"/>
      <c r="MJW207" s="199"/>
      <c r="MJX207" s="199"/>
      <c r="MJY207" s="199"/>
      <c r="MJZ207" s="199"/>
      <c r="MKA207" s="199"/>
      <c r="MKB207" s="199"/>
      <c r="MKC207" s="199"/>
      <c r="MKD207" s="199"/>
      <c r="MKE207" s="199"/>
      <c r="MKF207" s="199"/>
      <c r="MKG207" s="199"/>
      <c r="MKH207" s="199"/>
      <c r="MKI207" s="199"/>
      <c r="MKJ207" s="199"/>
      <c r="MKK207" s="199"/>
      <c r="MKL207" s="199"/>
      <c r="MKM207" s="199"/>
      <c r="MKN207" s="199"/>
      <c r="MKO207" s="199"/>
      <c r="MKP207" s="199"/>
      <c r="MKQ207" s="199"/>
      <c r="MKR207" s="199"/>
      <c r="MKS207" s="199"/>
      <c r="MKT207" s="199"/>
      <c r="MKU207" s="199"/>
      <c r="MKV207" s="199"/>
      <c r="MKW207" s="199"/>
      <c r="MKX207" s="199"/>
      <c r="MKY207" s="199"/>
      <c r="MKZ207" s="199"/>
      <c r="MLA207" s="199"/>
      <c r="MLB207" s="199"/>
      <c r="MLC207" s="199"/>
      <c r="MLD207" s="199"/>
      <c r="MLE207" s="199"/>
      <c r="MLF207" s="199"/>
      <c r="MLG207" s="199"/>
      <c r="MLH207" s="199"/>
      <c r="MLI207" s="199"/>
      <c r="MLJ207" s="199"/>
      <c r="MLK207" s="199"/>
      <c r="MLL207" s="199"/>
      <c r="MLM207" s="199"/>
      <c r="MLN207" s="199"/>
      <c r="MLO207" s="199"/>
      <c r="MLP207" s="199"/>
      <c r="MLQ207" s="199"/>
      <c r="MLR207" s="199"/>
      <c r="MLS207" s="199"/>
      <c r="MLT207" s="199"/>
      <c r="MLU207" s="199"/>
      <c r="MLV207" s="199"/>
      <c r="MLW207" s="199"/>
      <c r="MLX207" s="199"/>
      <c r="MLY207" s="199"/>
      <c r="MLZ207" s="199"/>
      <c r="MMA207" s="199"/>
      <c r="MMB207" s="199"/>
      <c r="MMC207" s="199"/>
      <c r="MMD207" s="199"/>
      <c r="MME207" s="199"/>
      <c r="MMF207" s="199"/>
      <c r="MMG207" s="199"/>
      <c r="MMH207" s="199"/>
      <c r="MMI207" s="199"/>
      <c r="MMJ207" s="199"/>
      <c r="MMK207" s="199"/>
      <c r="MML207" s="199"/>
      <c r="MMM207" s="199"/>
      <c r="MMN207" s="199"/>
      <c r="MMO207" s="199"/>
      <c r="MMP207" s="199"/>
      <c r="MMQ207" s="199"/>
      <c r="MMR207" s="199"/>
      <c r="MMS207" s="199"/>
      <c r="MMT207" s="199"/>
      <c r="MMU207" s="199"/>
      <c r="MMV207" s="199"/>
      <c r="MMW207" s="199"/>
      <c r="MMX207" s="199"/>
      <c r="MMY207" s="199"/>
      <c r="MMZ207" s="199"/>
      <c r="MNA207" s="199"/>
      <c r="MNB207" s="199"/>
      <c r="MNC207" s="199"/>
      <c r="MND207" s="199"/>
      <c r="MNE207" s="199"/>
      <c r="MNF207" s="199"/>
      <c r="MNG207" s="199"/>
      <c r="MNH207" s="199"/>
      <c r="MNI207" s="199"/>
      <c r="MNJ207" s="199"/>
      <c r="MNK207" s="199"/>
      <c r="MNL207" s="199"/>
      <c r="MNM207" s="199"/>
      <c r="MNN207" s="199"/>
      <c r="MNO207" s="199"/>
      <c r="MNP207" s="199"/>
      <c r="MNQ207" s="199"/>
      <c r="MNR207" s="199"/>
      <c r="MNS207" s="199"/>
      <c r="MNT207" s="199"/>
      <c r="MNU207" s="199"/>
      <c r="MNV207" s="199"/>
      <c r="MNW207" s="199"/>
      <c r="MNX207" s="199"/>
      <c r="MNY207" s="199"/>
      <c r="MNZ207" s="199"/>
      <c r="MOA207" s="199"/>
      <c r="MOB207" s="199"/>
      <c r="MOC207" s="199"/>
      <c r="MOD207" s="199"/>
      <c r="MOE207" s="199"/>
      <c r="MOF207" s="199"/>
      <c r="MOG207" s="199"/>
      <c r="MOH207" s="199"/>
      <c r="MOI207" s="199"/>
      <c r="MOJ207" s="199"/>
      <c r="MOK207" s="199"/>
      <c r="MOL207" s="199"/>
      <c r="MOM207" s="199"/>
      <c r="MON207" s="199"/>
      <c r="MOO207" s="199"/>
      <c r="MOP207" s="199"/>
      <c r="MOQ207" s="199"/>
      <c r="MOR207" s="199"/>
      <c r="MOS207" s="199"/>
      <c r="MOT207" s="199"/>
      <c r="MOU207" s="199"/>
      <c r="MOV207" s="199"/>
      <c r="MOW207" s="199"/>
      <c r="MOX207" s="199"/>
      <c r="MOY207" s="199"/>
      <c r="MOZ207" s="199"/>
      <c r="MPA207" s="199"/>
      <c r="MPB207" s="199"/>
      <c r="MPC207" s="199"/>
      <c r="MPD207" s="199"/>
      <c r="MPE207" s="199"/>
      <c r="MPF207" s="199"/>
      <c r="MPG207" s="199"/>
      <c r="MPH207" s="199"/>
      <c r="MPI207" s="199"/>
      <c r="MPJ207" s="199"/>
      <c r="MPK207" s="199"/>
      <c r="MPL207" s="199"/>
      <c r="MPM207" s="199"/>
      <c r="MPN207" s="199"/>
      <c r="MPO207" s="199"/>
      <c r="MPP207" s="199"/>
      <c r="MPQ207" s="199"/>
      <c r="MPR207" s="199"/>
      <c r="MPS207" s="199"/>
      <c r="MPT207" s="199"/>
      <c r="MPU207" s="199"/>
      <c r="MPV207" s="199"/>
      <c r="MPW207" s="199"/>
      <c r="MPX207" s="199"/>
      <c r="MPY207" s="199"/>
      <c r="MPZ207" s="199"/>
      <c r="MQA207" s="199"/>
      <c r="MQB207" s="199"/>
      <c r="MQC207" s="199"/>
      <c r="MQD207" s="199"/>
      <c r="MQE207" s="199"/>
      <c r="MQF207" s="199"/>
      <c r="MQG207" s="199"/>
      <c r="MQH207" s="199"/>
      <c r="MQI207" s="199"/>
      <c r="MQJ207" s="199"/>
      <c r="MQK207" s="199"/>
      <c r="MQL207" s="199"/>
      <c r="MQM207" s="199"/>
      <c r="MQN207" s="199"/>
      <c r="MQO207" s="199"/>
      <c r="MQP207" s="199"/>
      <c r="MQQ207" s="199"/>
      <c r="MQR207" s="199"/>
      <c r="MQS207" s="199"/>
      <c r="MQT207" s="199"/>
      <c r="MQU207" s="199"/>
      <c r="MQV207" s="199"/>
      <c r="MQW207" s="199"/>
      <c r="MQX207" s="199"/>
      <c r="MQY207" s="199"/>
      <c r="MQZ207" s="199"/>
      <c r="MRA207" s="199"/>
      <c r="MRB207" s="199"/>
      <c r="MRC207" s="199"/>
      <c r="MRD207" s="199"/>
      <c r="MRE207" s="199"/>
      <c r="MRF207" s="199"/>
      <c r="MRG207" s="199"/>
      <c r="MRH207" s="199"/>
      <c r="MRI207" s="199"/>
      <c r="MRJ207" s="199"/>
      <c r="MRK207" s="199"/>
      <c r="MRL207" s="199"/>
      <c r="MRM207" s="199"/>
      <c r="MRN207" s="199"/>
      <c r="MRO207" s="199"/>
      <c r="MRP207" s="199"/>
      <c r="MRQ207" s="199"/>
      <c r="MRR207" s="199"/>
      <c r="MRS207" s="199"/>
      <c r="MRT207" s="199"/>
      <c r="MRU207" s="199"/>
      <c r="MRV207" s="199"/>
      <c r="MRW207" s="199"/>
      <c r="MRX207" s="199"/>
      <c r="MRY207" s="199"/>
      <c r="MRZ207" s="199"/>
      <c r="MSA207" s="199"/>
      <c r="MSB207" s="199"/>
      <c r="MSC207" s="199"/>
      <c r="MSD207" s="199"/>
      <c r="MSE207" s="199"/>
      <c r="MSF207" s="199"/>
      <c r="MSG207" s="199"/>
      <c r="MSH207" s="199"/>
      <c r="MSI207" s="199"/>
      <c r="MSJ207" s="199"/>
      <c r="MSK207" s="199"/>
      <c r="MSL207" s="199"/>
      <c r="MSM207" s="199"/>
      <c r="MSN207" s="199"/>
      <c r="MSO207" s="199"/>
      <c r="MSP207" s="199"/>
      <c r="MSQ207" s="199"/>
      <c r="MSR207" s="199"/>
      <c r="MSS207" s="199"/>
      <c r="MST207" s="199"/>
      <c r="MSU207" s="199"/>
      <c r="MSV207" s="199"/>
      <c r="MSW207" s="199"/>
      <c r="MSX207" s="199"/>
      <c r="MSY207" s="199"/>
      <c r="MSZ207" s="199"/>
      <c r="MTA207" s="199"/>
      <c r="MTB207" s="199"/>
      <c r="MTC207" s="199"/>
      <c r="MTD207" s="199"/>
      <c r="MTE207" s="199"/>
      <c r="MTF207" s="199"/>
      <c r="MTG207" s="199"/>
      <c r="MTH207" s="199"/>
      <c r="MTI207" s="199"/>
      <c r="MTJ207" s="199"/>
      <c r="MTK207" s="199"/>
      <c r="MTL207" s="199"/>
      <c r="MTM207" s="199"/>
      <c r="MTN207" s="199"/>
      <c r="MTO207" s="199"/>
      <c r="MTP207" s="199"/>
      <c r="MTQ207" s="199"/>
      <c r="MTR207" s="199"/>
      <c r="MTS207" s="199"/>
      <c r="MTT207" s="199"/>
      <c r="MTU207" s="199"/>
      <c r="MTV207" s="199"/>
      <c r="MTW207" s="199"/>
      <c r="MTX207" s="199"/>
      <c r="MTY207" s="199"/>
      <c r="MTZ207" s="199"/>
      <c r="MUA207" s="199"/>
      <c r="MUB207" s="199"/>
      <c r="MUC207" s="199"/>
      <c r="MUD207" s="199"/>
      <c r="MUE207" s="199"/>
      <c r="MUF207" s="199"/>
      <c r="MUG207" s="199"/>
      <c r="MUH207" s="199"/>
      <c r="MUI207" s="199"/>
      <c r="MUJ207" s="199"/>
      <c r="MUK207" s="199"/>
      <c r="MUL207" s="199"/>
      <c r="MUM207" s="199"/>
      <c r="MUN207" s="199"/>
      <c r="MUO207" s="199"/>
      <c r="MUP207" s="199"/>
      <c r="MUQ207" s="199"/>
      <c r="MUR207" s="199"/>
      <c r="MUS207" s="199"/>
      <c r="MUT207" s="199"/>
      <c r="MUU207" s="199"/>
      <c r="MUV207" s="199"/>
      <c r="MUW207" s="199"/>
      <c r="MUX207" s="199"/>
      <c r="MUY207" s="199"/>
      <c r="MUZ207" s="199"/>
      <c r="MVA207" s="199"/>
      <c r="MVB207" s="199"/>
      <c r="MVC207" s="199"/>
      <c r="MVD207" s="199"/>
      <c r="MVE207" s="199"/>
      <c r="MVF207" s="199"/>
      <c r="MVG207" s="199"/>
      <c r="MVH207" s="199"/>
      <c r="MVI207" s="199"/>
      <c r="MVJ207" s="199"/>
      <c r="MVK207" s="199"/>
      <c r="MVL207" s="199"/>
      <c r="MVM207" s="199"/>
      <c r="MVN207" s="199"/>
      <c r="MVO207" s="199"/>
      <c r="MVP207" s="199"/>
      <c r="MVQ207" s="199"/>
      <c r="MVR207" s="199"/>
      <c r="MVS207" s="199"/>
      <c r="MVT207" s="199"/>
      <c r="MVU207" s="199"/>
      <c r="MVV207" s="199"/>
      <c r="MVW207" s="199"/>
      <c r="MVX207" s="199"/>
      <c r="MVY207" s="199"/>
      <c r="MVZ207" s="199"/>
      <c r="MWA207" s="199"/>
      <c r="MWB207" s="199"/>
      <c r="MWC207" s="199"/>
      <c r="MWD207" s="199"/>
      <c r="MWE207" s="199"/>
      <c r="MWF207" s="199"/>
      <c r="MWG207" s="199"/>
      <c r="MWH207" s="199"/>
      <c r="MWI207" s="199"/>
      <c r="MWJ207" s="199"/>
      <c r="MWK207" s="199"/>
      <c r="MWL207" s="199"/>
      <c r="MWM207" s="199"/>
      <c r="MWN207" s="199"/>
      <c r="MWO207" s="199"/>
      <c r="MWP207" s="199"/>
      <c r="MWQ207" s="199"/>
      <c r="MWR207" s="199"/>
      <c r="MWS207" s="199"/>
      <c r="MWT207" s="199"/>
      <c r="MWU207" s="199"/>
      <c r="MWV207" s="199"/>
      <c r="MWW207" s="199"/>
      <c r="MWX207" s="199"/>
      <c r="MWY207" s="199"/>
      <c r="MWZ207" s="199"/>
      <c r="MXA207" s="199"/>
      <c r="MXB207" s="199"/>
      <c r="MXC207" s="199"/>
      <c r="MXD207" s="199"/>
      <c r="MXE207" s="199"/>
      <c r="MXF207" s="199"/>
      <c r="MXG207" s="199"/>
      <c r="MXH207" s="199"/>
      <c r="MXI207" s="199"/>
      <c r="MXJ207" s="199"/>
      <c r="MXK207" s="199"/>
      <c r="MXL207" s="199"/>
      <c r="MXM207" s="199"/>
      <c r="MXN207" s="199"/>
      <c r="MXO207" s="199"/>
      <c r="MXP207" s="199"/>
      <c r="MXQ207" s="199"/>
      <c r="MXR207" s="199"/>
      <c r="MXS207" s="199"/>
      <c r="MXT207" s="199"/>
      <c r="MXU207" s="199"/>
      <c r="MXV207" s="199"/>
      <c r="MXW207" s="199"/>
      <c r="MXX207" s="199"/>
      <c r="MXY207" s="199"/>
      <c r="MXZ207" s="199"/>
      <c r="MYA207" s="199"/>
      <c r="MYB207" s="199"/>
      <c r="MYC207" s="199"/>
      <c r="MYD207" s="199"/>
      <c r="MYE207" s="199"/>
      <c r="MYF207" s="199"/>
      <c r="MYG207" s="199"/>
      <c r="MYH207" s="199"/>
      <c r="MYI207" s="199"/>
      <c r="MYJ207" s="199"/>
      <c r="MYK207" s="199"/>
      <c r="MYL207" s="199"/>
      <c r="MYM207" s="199"/>
      <c r="MYN207" s="199"/>
      <c r="MYO207" s="199"/>
      <c r="MYP207" s="199"/>
      <c r="MYQ207" s="199"/>
      <c r="MYR207" s="199"/>
      <c r="MYS207" s="199"/>
      <c r="MYT207" s="199"/>
      <c r="MYU207" s="199"/>
      <c r="MYV207" s="199"/>
      <c r="MYW207" s="199"/>
      <c r="MYX207" s="199"/>
      <c r="MYY207" s="199"/>
      <c r="MYZ207" s="199"/>
      <c r="MZA207" s="199"/>
      <c r="MZB207" s="199"/>
      <c r="MZC207" s="199"/>
      <c r="MZD207" s="199"/>
      <c r="MZE207" s="199"/>
      <c r="MZF207" s="199"/>
      <c r="MZG207" s="199"/>
      <c r="MZH207" s="199"/>
      <c r="MZI207" s="199"/>
      <c r="MZJ207" s="199"/>
      <c r="MZK207" s="199"/>
      <c r="MZL207" s="199"/>
      <c r="MZM207" s="199"/>
      <c r="MZN207" s="199"/>
      <c r="MZO207" s="199"/>
      <c r="MZP207" s="199"/>
      <c r="MZQ207" s="199"/>
      <c r="MZR207" s="199"/>
      <c r="MZS207" s="199"/>
      <c r="MZT207" s="199"/>
      <c r="MZU207" s="199"/>
      <c r="MZV207" s="199"/>
      <c r="MZW207" s="199"/>
      <c r="MZX207" s="199"/>
      <c r="MZY207" s="199"/>
      <c r="MZZ207" s="199"/>
      <c r="NAA207" s="199"/>
      <c r="NAB207" s="199"/>
      <c r="NAC207" s="199"/>
      <c r="NAD207" s="199"/>
      <c r="NAE207" s="199"/>
      <c r="NAF207" s="199"/>
      <c r="NAG207" s="199"/>
      <c r="NAH207" s="199"/>
      <c r="NAI207" s="199"/>
      <c r="NAJ207" s="199"/>
      <c r="NAK207" s="199"/>
      <c r="NAL207" s="199"/>
      <c r="NAM207" s="199"/>
      <c r="NAN207" s="199"/>
      <c r="NAO207" s="199"/>
      <c r="NAP207" s="199"/>
      <c r="NAQ207" s="199"/>
      <c r="NAR207" s="199"/>
      <c r="NAS207" s="199"/>
      <c r="NAT207" s="199"/>
      <c r="NAU207" s="199"/>
      <c r="NAV207" s="199"/>
      <c r="NAW207" s="199"/>
      <c r="NAX207" s="199"/>
      <c r="NAY207" s="199"/>
      <c r="NAZ207" s="199"/>
      <c r="NBA207" s="199"/>
      <c r="NBB207" s="199"/>
      <c r="NBC207" s="199"/>
      <c r="NBD207" s="199"/>
      <c r="NBE207" s="199"/>
      <c r="NBF207" s="199"/>
      <c r="NBG207" s="199"/>
      <c r="NBH207" s="199"/>
      <c r="NBI207" s="199"/>
      <c r="NBJ207" s="199"/>
      <c r="NBK207" s="199"/>
      <c r="NBL207" s="199"/>
      <c r="NBM207" s="199"/>
      <c r="NBN207" s="199"/>
      <c r="NBO207" s="199"/>
      <c r="NBP207" s="199"/>
      <c r="NBQ207" s="199"/>
      <c r="NBR207" s="199"/>
      <c r="NBS207" s="199"/>
      <c r="NBT207" s="199"/>
      <c r="NBU207" s="199"/>
      <c r="NBV207" s="199"/>
      <c r="NBW207" s="199"/>
      <c r="NBX207" s="199"/>
      <c r="NBY207" s="199"/>
      <c r="NBZ207" s="199"/>
      <c r="NCA207" s="199"/>
      <c r="NCB207" s="199"/>
      <c r="NCC207" s="199"/>
      <c r="NCD207" s="199"/>
      <c r="NCE207" s="199"/>
      <c r="NCF207" s="199"/>
      <c r="NCG207" s="199"/>
      <c r="NCH207" s="199"/>
      <c r="NCI207" s="199"/>
      <c r="NCJ207" s="199"/>
      <c r="NCK207" s="199"/>
      <c r="NCL207" s="199"/>
      <c r="NCM207" s="199"/>
      <c r="NCN207" s="199"/>
      <c r="NCO207" s="199"/>
      <c r="NCP207" s="199"/>
      <c r="NCQ207" s="199"/>
      <c r="NCR207" s="199"/>
      <c r="NCS207" s="199"/>
      <c r="NCT207" s="199"/>
      <c r="NCU207" s="199"/>
      <c r="NCV207" s="199"/>
      <c r="NCW207" s="199"/>
      <c r="NCX207" s="199"/>
      <c r="NCY207" s="199"/>
      <c r="NCZ207" s="199"/>
      <c r="NDA207" s="199"/>
      <c r="NDB207" s="199"/>
      <c r="NDC207" s="199"/>
      <c r="NDD207" s="199"/>
      <c r="NDE207" s="199"/>
      <c r="NDF207" s="199"/>
      <c r="NDG207" s="199"/>
      <c r="NDH207" s="199"/>
      <c r="NDI207" s="199"/>
      <c r="NDJ207" s="199"/>
      <c r="NDK207" s="199"/>
      <c r="NDL207" s="199"/>
      <c r="NDM207" s="199"/>
      <c r="NDN207" s="199"/>
      <c r="NDO207" s="199"/>
      <c r="NDP207" s="199"/>
      <c r="NDQ207" s="199"/>
      <c r="NDR207" s="199"/>
      <c r="NDS207" s="199"/>
      <c r="NDT207" s="199"/>
      <c r="NDU207" s="199"/>
      <c r="NDV207" s="199"/>
      <c r="NDW207" s="199"/>
      <c r="NDX207" s="199"/>
      <c r="NDY207" s="199"/>
      <c r="NDZ207" s="199"/>
      <c r="NEA207" s="199"/>
      <c r="NEB207" s="199"/>
      <c r="NEC207" s="199"/>
      <c r="NED207" s="199"/>
      <c r="NEE207" s="199"/>
      <c r="NEF207" s="199"/>
      <c r="NEG207" s="199"/>
      <c r="NEH207" s="199"/>
      <c r="NEI207" s="199"/>
      <c r="NEJ207" s="199"/>
      <c r="NEK207" s="199"/>
      <c r="NEL207" s="199"/>
      <c r="NEM207" s="199"/>
      <c r="NEN207" s="199"/>
      <c r="NEO207" s="199"/>
      <c r="NEP207" s="199"/>
      <c r="NEQ207" s="199"/>
      <c r="NER207" s="199"/>
      <c r="NES207" s="199"/>
      <c r="NET207" s="199"/>
      <c r="NEU207" s="199"/>
      <c r="NEV207" s="199"/>
      <c r="NEW207" s="199"/>
      <c r="NEX207" s="199"/>
      <c r="NEY207" s="199"/>
      <c r="NEZ207" s="199"/>
      <c r="NFA207" s="199"/>
      <c r="NFB207" s="199"/>
      <c r="NFC207" s="199"/>
      <c r="NFD207" s="199"/>
      <c r="NFE207" s="199"/>
      <c r="NFF207" s="199"/>
      <c r="NFG207" s="199"/>
      <c r="NFH207" s="199"/>
      <c r="NFI207" s="199"/>
      <c r="NFJ207" s="199"/>
      <c r="NFK207" s="199"/>
      <c r="NFL207" s="199"/>
      <c r="NFM207" s="199"/>
      <c r="NFN207" s="199"/>
      <c r="NFO207" s="199"/>
      <c r="NFP207" s="199"/>
      <c r="NFQ207" s="199"/>
      <c r="NFR207" s="199"/>
      <c r="NFS207" s="199"/>
      <c r="NFT207" s="199"/>
      <c r="NFU207" s="199"/>
      <c r="NFV207" s="199"/>
      <c r="NFW207" s="199"/>
      <c r="NFX207" s="199"/>
      <c r="NFY207" s="199"/>
      <c r="NFZ207" s="199"/>
      <c r="NGA207" s="199"/>
      <c r="NGB207" s="199"/>
      <c r="NGC207" s="199"/>
      <c r="NGD207" s="199"/>
      <c r="NGE207" s="199"/>
      <c r="NGF207" s="199"/>
      <c r="NGG207" s="199"/>
      <c r="NGH207" s="199"/>
      <c r="NGI207" s="199"/>
      <c r="NGJ207" s="199"/>
      <c r="NGK207" s="199"/>
      <c r="NGL207" s="199"/>
      <c r="NGM207" s="199"/>
      <c r="NGN207" s="199"/>
      <c r="NGO207" s="199"/>
      <c r="NGP207" s="199"/>
      <c r="NGQ207" s="199"/>
      <c r="NGR207" s="199"/>
      <c r="NGS207" s="199"/>
      <c r="NGT207" s="199"/>
      <c r="NGU207" s="199"/>
      <c r="NGV207" s="199"/>
      <c r="NGW207" s="199"/>
      <c r="NGX207" s="199"/>
      <c r="NGY207" s="199"/>
      <c r="NGZ207" s="199"/>
      <c r="NHA207" s="199"/>
      <c r="NHB207" s="199"/>
      <c r="NHC207" s="199"/>
      <c r="NHD207" s="199"/>
      <c r="NHE207" s="199"/>
      <c r="NHF207" s="199"/>
      <c r="NHG207" s="199"/>
      <c r="NHH207" s="199"/>
      <c r="NHI207" s="199"/>
      <c r="NHJ207" s="199"/>
      <c r="NHK207" s="199"/>
      <c r="NHL207" s="199"/>
      <c r="NHM207" s="199"/>
      <c r="NHN207" s="199"/>
      <c r="NHO207" s="199"/>
      <c r="NHP207" s="199"/>
      <c r="NHQ207" s="199"/>
      <c r="NHR207" s="199"/>
      <c r="NHS207" s="199"/>
      <c r="NHT207" s="199"/>
      <c r="NHU207" s="199"/>
      <c r="NHV207" s="199"/>
      <c r="NHW207" s="199"/>
      <c r="NHX207" s="199"/>
      <c r="NHY207" s="199"/>
      <c r="NHZ207" s="199"/>
      <c r="NIA207" s="199"/>
      <c r="NIB207" s="199"/>
      <c r="NIC207" s="199"/>
      <c r="NID207" s="199"/>
      <c r="NIE207" s="199"/>
      <c r="NIF207" s="199"/>
      <c r="NIG207" s="199"/>
      <c r="NIH207" s="199"/>
      <c r="NII207" s="199"/>
      <c r="NIJ207" s="199"/>
      <c r="NIK207" s="199"/>
      <c r="NIL207" s="199"/>
      <c r="NIM207" s="199"/>
      <c r="NIN207" s="199"/>
      <c r="NIO207" s="199"/>
      <c r="NIP207" s="199"/>
      <c r="NIQ207" s="199"/>
      <c r="NIR207" s="199"/>
      <c r="NIS207" s="199"/>
      <c r="NIT207" s="199"/>
      <c r="NIU207" s="199"/>
      <c r="NIV207" s="199"/>
      <c r="NIW207" s="199"/>
      <c r="NIX207" s="199"/>
      <c r="NIY207" s="199"/>
      <c r="NIZ207" s="199"/>
      <c r="NJA207" s="199"/>
      <c r="NJB207" s="199"/>
      <c r="NJC207" s="199"/>
      <c r="NJD207" s="199"/>
      <c r="NJE207" s="199"/>
      <c r="NJF207" s="199"/>
      <c r="NJG207" s="199"/>
      <c r="NJH207" s="199"/>
      <c r="NJI207" s="199"/>
      <c r="NJJ207" s="199"/>
      <c r="NJK207" s="199"/>
      <c r="NJL207" s="199"/>
      <c r="NJM207" s="199"/>
      <c r="NJN207" s="199"/>
      <c r="NJO207" s="199"/>
      <c r="NJP207" s="199"/>
      <c r="NJQ207" s="199"/>
      <c r="NJR207" s="199"/>
      <c r="NJS207" s="199"/>
      <c r="NJT207" s="199"/>
      <c r="NJU207" s="199"/>
      <c r="NJV207" s="199"/>
      <c r="NJW207" s="199"/>
      <c r="NJX207" s="199"/>
      <c r="NJY207" s="199"/>
      <c r="NJZ207" s="199"/>
      <c r="NKA207" s="199"/>
      <c r="NKB207" s="199"/>
      <c r="NKC207" s="199"/>
      <c r="NKD207" s="199"/>
      <c r="NKE207" s="199"/>
      <c r="NKF207" s="199"/>
      <c r="NKG207" s="199"/>
      <c r="NKH207" s="199"/>
      <c r="NKI207" s="199"/>
      <c r="NKJ207" s="199"/>
      <c r="NKK207" s="199"/>
      <c r="NKL207" s="199"/>
      <c r="NKM207" s="199"/>
      <c r="NKN207" s="199"/>
      <c r="NKO207" s="199"/>
      <c r="NKP207" s="199"/>
      <c r="NKQ207" s="199"/>
      <c r="NKR207" s="199"/>
      <c r="NKS207" s="199"/>
      <c r="NKT207" s="199"/>
      <c r="NKU207" s="199"/>
      <c r="NKV207" s="199"/>
      <c r="NKW207" s="199"/>
      <c r="NKX207" s="199"/>
      <c r="NKY207" s="199"/>
      <c r="NKZ207" s="199"/>
      <c r="NLA207" s="199"/>
      <c r="NLB207" s="199"/>
      <c r="NLC207" s="199"/>
      <c r="NLD207" s="199"/>
      <c r="NLE207" s="199"/>
      <c r="NLF207" s="199"/>
      <c r="NLG207" s="199"/>
      <c r="NLH207" s="199"/>
      <c r="NLI207" s="199"/>
      <c r="NLJ207" s="199"/>
      <c r="NLK207" s="199"/>
      <c r="NLL207" s="199"/>
      <c r="NLM207" s="199"/>
      <c r="NLN207" s="199"/>
      <c r="NLO207" s="199"/>
      <c r="NLP207" s="199"/>
      <c r="NLQ207" s="199"/>
      <c r="NLR207" s="199"/>
      <c r="NLS207" s="199"/>
      <c r="NLT207" s="199"/>
      <c r="NLU207" s="199"/>
      <c r="NLV207" s="199"/>
      <c r="NLW207" s="199"/>
      <c r="NLX207" s="199"/>
      <c r="NLY207" s="199"/>
      <c r="NLZ207" s="199"/>
      <c r="NMA207" s="199"/>
      <c r="NMB207" s="199"/>
      <c r="NMC207" s="199"/>
      <c r="NMD207" s="199"/>
      <c r="NME207" s="199"/>
      <c r="NMF207" s="199"/>
      <c r="NMG207" s="199"/>
      <c r="NMH207" s="199"/>
      <c r="NMI207" s="199"/>
      <c r="NMJ207" s="199"/>
      <c r="NMK207" s="199"/>
      <c r="NML207" s="199"/>
      <c r="NMM207" s="199"/>
      <c r="NMN207" s="199"/>
      <c r="NMO207" s="199"/>
      <c r="NMP207" s="199"/>
      <c r="NMQ207" s="199"/>
      <c r="NMR207" s="199"/>
      <c r="NMS207" s="199"/>
      <c r="NMT207" s="199"/>
      <c r="NMU207" s="199"/>
      <c r="NMV207" s="199"/>
      <c r="NMW207" s="199"/>
      <c r="NMX207" s="199"/>
      <c r="NMY207" s="199"/>
      <c r="NMZ207" s="199"/>
      <c r="NNA207" s="199"/>
      <c r="NNB207" s="199"/>
      <c r="NNC207" s="199"/>
      <c r="NND207" s="199"/>
      <c r="NNE207" s="199"/>
      <c r="NNF207" s="199"/>
      <c r="NNG207" s="199"/>
      <c r="NNH207" s="199"/>
      <c r="NNI207" s="199"/>
      <c r="NNJ207" s="199"/>
      <c r="NNK207" s="199"/>
      <c r="NNL207" s="199"/>
      <c r="NNM207" s="199"/>
      <c r="NNN207" s="199"/>
      <c r="NNO207" s="199"/>
      <c r="NNP207" s="199"/>
      <c r="NNQ207" s="199"/>
      <c r="NNR207" s="199"/>
      <c r="NNS207" s="199"/>
      <c r="NNT207" s="199"/>
      <c r="NNU207" s="199"/>
      <c r="NNV207" s="199"/>
      <c r="NNW207" s="199"/>
      <c r="NNX207" s="199"/>
      <c r="NNY207" s="199"/>
      <c r="NNZ207" s="199"/>
      <c r="NOA207" s="199"/>
      <c r="NOB207" s="199"/>
      <c r="NOC207" s="199"/>
      <c r="NOD207" s="199"/>
      <c r="NOE207" s="199"/>
      <c r="NOF207" s="199"/>
      <c r="NOG207" s="199"/>
      <c r="NOH207" s="199"/>
      <c r="NOI207" s="199"/>
      <c r="NOJ207" s="199"/>
      <c r="NOK207" s="199"/>
      <c r="NOL207" s="199"/>
      <c r="NOM207" s="199"/>
      <c r="NON207" s="199"/>
      <c r="NOO207" s="199"/>
      <c r="NOP207" s="199"/>
      <c r="NOQ207" s="199"/>
      <c r="NOR207" s="199"/>
      <c r="NOS207" s="199"/>
      <c r="NOT207" s="199"/>
      <c r="NOU207" s="199"/>
      <c r="NOV207" s="199"/>
      <c r="NOW207" s="199"/>
      <c r="NOX207" s="199"/>
      <c r="NOY207" s="199"/>
      <c r="NOZ207" s="199"/>
      <c r="NPA207" s="199"/>
      <c r="NPB207" s="199"/>
      <c r="NPC207" s="199"/>
      <c r="NPD207" s="199"/>
      <c r="NPE207" s="199"/>
      <c r="NPF207" s="199"/>
      <c r="NPG207" s="199"/>
      <c r="NPH207" s="199"/>
      <c r="NPI207" s="199"/>
      <c r="NPJ207" s="199"/>
      <c r="NPK207" s="199"/>
      <c r="NPL207" s="199"/>
      <c r="NPM207" s="199"/>
      <c r="NPN207" s="199"/>
      <c r="NPO207" s="199"/>
      <c r="NPP207" s="199"/>
      <c r="NPQ207" s="199"/>
      <c r="NPR207" s="199"/>
      <c r="NPS207" s="199"/>
      <c r="NPT207" s="199"/>
      <c r="NPU207" s="199"/>
      <c r="NPV207" s="199"/>
      <c r="NPW207" s="199"/>
      <c r="NPX207" s="199"/>
      <c r="NPY207" s="199"/>
      <c r="NPZ207" s="199"/>
      <c r="NQA207" s="199"/>
      <c r="NQB207" s="199"/>
      <c r="NQC207" s="199"/>
      <c r="NQD207" s="199"/>
      <c r="NQE207" s="199"/>
      <c r="NQF207" s="199"/>
      <c r="NQG207" s="199"/>
      <c r="NQH207" s="199"/>
      <c r="NQI207" s="199"/>
      <c r="NQJ207" s="199"/>
      <c r="NQK207" s="199"/>
      <c r="NQL207" s="199"/>
      <c r="NQM207" s="199"/>
      <c r="NQN207" s="199"/>
      <c r="NQO207" s="199"/>
      <c r="NQP207" s="199"/>
      <c r="NQQ207" s="199"/>
      <c r="NQR207" s="199"/>
      <c r="NQS207" s="199"/>
      <c r="NQT207" s="199"/>
      <c r="NQU207" s="199"/>
      <c r="NQV207" s="199"/>
      <c r="NQW207" s="199"/>
      <c r="NQX207" s="199"/>
      <c r="NQY207" s="199"/>
      <c r="NQZ207" s="199"/>
      <c r="NRA207" s="199"/>
      <c r="NRB207" s="199"/>
      <c r="NRC207" s="199"/>
      <c r="NRD207" s="199"/>
      <c r="NRE207" s="199"/>
      <c r="NRF207" s="199"/>
      <c r="NRG207" s="199"/>
      <c r="NRH207" s="199"/>
      <c r="NRI207" s="199"/>
      <c r="NRJ207" s="199"/>
      <c r="NRK207" s="199"/>
      <c r="NRL207" s="199"/>
      <c r="NRM207" s="199"/>
      <c r="NRN207" s="199"/>
      <c r="NRO207" s="199"/>
      <c r="NRP207" s="199"/>
      <c r="NRQ207" s="199"/>
      <c r="NRR207" s="199"/>
      <c r="NRS207" s="199"/>
      <c r="NRT207" s="199"/>
      <c r="NRU207" s="199"/>
      <c r="NRV207" s="199"/>
      <c r="NRW207" s="199"/>
      <c r="NRX207" s="199"/>
      <c r="NRY207" s="199"/>
      <c r="NRZ207" s="199"/>
      <c r="NSA207" s="199"/>
      <c r="NSB207" s="199"/>
      <c r="NSC207" s="199"/>
      <c r="NSD207" s="199"/>
      <c r="NSE207" s="199"/>
      <c r="NSF207" s="199"/>
      <c r="NSG207" s="199"/>
      <c r="NSH207" s="199"/>
      <c r="NSI207" s="199"/>
      <c r="NSJ207" s="199"/>
      <c r="NSK207" s="199"/>
      <c r="NSL207" s="199"/>
      <c r="NSM207" s="199"/>
      <c r="NSN207" s="199"/>
      <c r="NSO207" s="199"/>
      <c r="NSP207" s="199"/>
      <c r="NSQ207" s="199"/>
      <c r="NSR207" s="199"/>
      <c r="NSS207" s="199"/>
      <c r="NST207" s="199"/>
      <c r="NSU207" s="199"/>
      <c r="NSV207" s="199"/>
      <c r="NSW207" s="199"/>
      <c r="NSX207" s="199"/>
      <c r="NSY207" s="199"/>
      <c r="NSZ207" s="199"/>
      <c r="NTA207" s="199"/>
      <c r="NTB207" s="199"/>
      <c r="NTC207" s="199"/>
      <c r="NTD207" s="199"/>
      <c r="NTE207" s="199"/>
      <c r="NTF207" s="199"/>
      <c r="NTG207" s="199"/>
      <c r="NTH207" s="199"/>
      <c r="NTI207" s="199"/>
      <c r="NTJ207" s="199"/>
      <c r="NTK207" s="199"/>
      <c r="NTL207" s="199"/>
      <c r="NTM207" s="199"/>
      <c r="NTN207" s="199"/>
      <c r="NTO207" s="199"/>
      <c r="NTP207" s="199"/>
      <c r="NTQ207" s="199"/>
      <c r="NTR207" s="199"/>
      <c r="NTS207" s="199"/>
      <c r="NTT207" s="199"/>
      <c r="NTU207" s="199"/>
      <c r="NTV207" s="199"/>
      <c r="NTW207" s="199"/>
      <c r="NTX207" s="199"/>
      <c r="NTY207" s="199"/>
      <c r="NTZ207" s="199"/>
      <c r="NUA207" s="199"/>
      <c r="NUB207" s="199"/>
      <c r="NUC207" s="199"/>
      <c r="NUD207" s="199"/>
      <c r="NUE207" s="199"/>
      <c r="NUF207" s="199"/>
      <c r="NUG207" s="199"/>
      <c r="NUH207" s="199"/>
      <c r="NUI207" s="199"/>
      <c r="NUJ207" s="199"/>
      <c r="NUK207" s="199"/>
      <c r="NUL207" s="199"/>
      <c r="NUM207" s="199"/>
      <c r="NUN207" s="199"/>
      <c r="NUO207" s="199"/>
      <c r="NUP207" s="199"/>
      <c r="NUQ207" s="199"/>
      <c r="NUR207" s="199"/>
      <c r="NUS207" s="199"/>
      <c r="NUT207" s="199"/>
      <c r="NUU207" s="199"/>
      <c r="NUV207" s="199"/>
      <c r="NUW207" s="199"/>
      <c r="NUX207" s="199"/>
      <c r="NUY207" s="199"/>
      <c r="NUZ207" s="199"/>
      <c r="NVA207" s="199"/>
      <c r="NVB207" s="199"/>
      <c r="NVC207" s="199"/>
      <c r="NVD207" s="199"/>
      <c r="NVE207" s="199"/>
      <c r="NVF207" s="199"/>
      <c r="NVG207" s="199"/>
      <c r="NVH207" s="199"/>
      <c r="NVI207" s="199"/>
      <c r="NVJ207" s="199"/>
      <c r="NVK207" s="199"/>
      <c r="NVL207" s="199"/>
      <c r="NVM207" s="199"/>
      <c r="NVN207" s="199"/>
      <c r="NVO207" s="199"/>
      <c r="NVP207" s="199"/>
      <c r="NVQ207" s="199"/>
      <c r="NVR207" s="199"/>
      <c r="NVS207" s="199"/>
      <c r="NVT207" s="199"/>
      <c r="NVU207" s="199"/>
      <c r="NVV207" s="199"/>
      <c r="NVW207" s="199"/>
      <c r="NVX207" s="199"/>
      <c r="NVY207" s="199"/>
      <c r="NVZ207" s="199"/>
      <c r="NWA207" s="199"/>
      <c r="NWB207" s="199"/>
      <c r="NWC207" s="199"/>
      <c r="NWD207" s="199"/>
      <c r="NWE207" s="199"/>
      <c r="NWF207" s="199"/>
      <c r="NWG207" s="199"/>
      <c r="NWH207" s="199"/>
      <c r="NWI207" s="199"/>
      <c r="NWJ207" s="199"/>
      <c r="NWK207" s="199"/>
      <c r="NWL207" s="199"/>
      <c r="NWM207" s="199"/>
      <c r="NWN207" s="199"/>
      <c r="NWO207" s="199"/>
      <c r="NWP207" s="199"/>
      <c r="NWQ207" s="199"/>
      <c r="NWR207" s="199"/>
      <c r="NWS207" s="199"/>
      <c r="NWT207" s="199"/>
      <c r="NWU207" s="199"/>
      <c r="NWV207" s="199"/>
      <c r="NWW207" s="199"/>
      <c r="NWX207" s="199"/>
      <c r="NWY207" s="199"/>
      <c r="NWZ207" s="199"/>
      <c r="NXA207" s="199"/>
      <c r="NXB207" s="199"/>
      <c r="NXC207" s="199"/>
      <c r="NXD207" s="199"/>
      <c r="NXE207" s="199"/>
      <c r="NXF207" s="199"/>
      <c r="NXG207" s="199"/>
      <c r="NXH207" s="199"/>
      <c r="NXI207" s="199"/>
      <c r="NXJ207" s="199"/>
      <c r="NXK207" s="199"/>
      <c r="NXL207" s="199"/>
      <c r="NXM207" s="199"/>
      <c r="NXN207" s="199"/>
      <c r="NXO207" s="199"/>
      <c r="NXP207" s="199"/>
      <c r="NXQ207" s="199"/>
      <c r="NXR207" s="199"/>
      <c r="NXS207" s="199"/>
      <c r="NXT207" s="199"/>
      <c r="NXU207" s="199"/>
      <c r="NXV207" s="199"/>
      <c r="NXW207" s="199"/>
      <c r="NXX207" s="199"/>
      <c r="NXY207" s="199"/>
      <c r="NXZ207" s="199"/>
      <c r="NYA207" s="199"/>
      <c r="NYB207" s="199"/>
      <c r="NYC207" s="199"/>
      <c r="NYD207" s="199"/>
      <c r="NYE207" s="199"/>
      <c r="NYF207" s="199"/>
      <c r="NYG207" s="199"/>
      <c r="NYH207" s="199"/>
      <c r="NYI207" s="199"/>
      <c r="NYJ207" s="199"/>
      <c r="NYK207" s="199"/>
      <c r="NYL207" s="199"/>
      <c r="NYM207" s="199"/>
      <c r="NYN207" s="199"/>
      <c r="NYO207" s="199"/>
      <c r="NYP207" s="199"/>
      <c r="NYQ207" s="199"/>
      <c r="NYR207" s="199"/>
      <c r="NYS207" s="199"/>
      <c r="NYT207" s="199"/>
      <c r="NYU207" s="199"/>
      <c r="NYV207" s="199"/>
      <c r="NYW207" s="199"/>
      <c r="NYX207" s="199"/>
      <c r="NYY207" s="199"/>
      <c r="NYZ207" s="199"/>
      <c r="NZA207" s="199"/>
      <c r="NZB207" s="199"/>
      <c r="NZC207" s="199"/>
      <c r="NZD207" s="199"/>
      <c r="NZE207" s="199"/>
      <c r="NZF207" s="199"/>
      <c r="NZG207" s="199"/>
      <c r="NZH207" s="199"/>
      <c r="NZI207" s="199"/>
      <c r="NZJ207" s="199"/>
      <c r="NZK207" s="199"/>
      <c r="NZL207" s="199"/>
      <c r="NZM207" s="199"/>
      <c r="NZN207" s="199"/>
      <c r="NZO207" s="199"/>
      <c r="NZP207" s="199"/>
      <c r="NZQ207" s="199"/>
      <c r="NZR207" s="199"/>
      <c r="NZS207" s="199"/>
      <c r="NZT207" s="199"/>
      <c r="NZU207" s="199"/>
      <c r="NZV207" s="199"/>
      <c r="NZW207" s="199"/>
      <c r="NZX207" s="199"/>
      <c r="NZY207" s="199"/>
      <c r="NZZ207" s="199"/>
      <c r="OAA207" s="199"/>
      <c r="OAB207" s="199"/>
      <c r="OAC207" s="199"/>
      <c r="OAD207" s="199"/>
      <c r="OAE207" s="199"/>
      <c r="OAF207" s="199"/>
      <c r="OAG207" s="199"/>
      <c r="OAH207" s="199"/>
      <c r="OAI207" s="199"/>
      <c r="OAJ207" s="199"/>
      <c r="OAK207" s="199"/>
      <c r="OAL207" s="199"/>
      <c r="OAM207" s="199"/>
      <c r="OAN207" s="199"/>
      <c r="OAO207" s="199"/>
      <c r="OAP207" s="199"/>
      <c r="OAQ207" s="199"/>
      <c r="OAR207" s="199"/>
      <c r="OAS207" s="199"/>
      <c r="OAT207" s="199"/>
      <c r="OAU207" s="199"/>
      <c r="OAV207" s="199"/>
      <c r="OAW207" s="199"/>
      <c r="OAX207" s="199"/>
      <c r="OAY207" s="199"/>
      <c r="OAZ207" s="199"/>
      <c r="OBA207" s="199"/>
      <c r="OBB207" s="199"/>
      <c r="OBC207" s="199"/>
      <c r="OBD207" s="199"/>
      <c r="OBE207" s="199"/>
      <c r="OBF207" s="199"/>
      <c r="OBG207" s="199"/>
      <c r="OBH207" s="199"/>
      <c r="OBI207" s="199"/>
      <c r="OBJ207" s="199"/>
      <c r="OBK207" s="199"/>
      <c r="OBL207" s="199"/>
      <c r="OBM207" s="199"/>
      <c r="OBN207" s="199"/>
      <c r="OBO207" s="199"/>
      <c r="OBP207" s="199"/>
      <c r="OBQ207" s="199"/>
      <c r="OBR207" s="199"/>
      <c r="OBS207" s="199"/>
      <c r="OBT207" s="199"/>
      <c r="OBU207" s="199"/>
      <c r="OBV207" s="199"/>
      <c r="OBW207" s="199"/>
      <c r="OBX207" s="199"/>
      <c r="OBY207" s="199"/>
      <c r="OBZ207" s="199"/>
      <c r="OCA207" s="199"/>
      <c r="OCB207" s="199"/>
      <c r="OCC207" s="199"/>
      <c r="OCD207" s="199"/>
      <c r="OCE207" s="199"/>
      <c r="OCF207" s="199"/>
      <c r="OCG207" s="199"/>
      <c r="OCH207" s="199"/>
      <c r="OCI207" s="199"/>
      <c r="OCJ207" s="199"/>
      <c r="OCK207" s="199"/>
      <c r="OCL207" s="199"/>
      <c r="OCM207" s="199"/>
      <c r="OCN207" s="199"/>
      <c r="OCO207" s="199"/>
      <c r="OCP207" s="199"/>
      <c r="OCQ207" s="199"/>
      <c r="OCR207" s="199"/>
      <c r="OCS207" s="199"/>
      <c r="OCT207" s="199"/>
      <c r="OCU207" s="199"/>
      <c r="OCV207" s="199"/>
      <c r="OCW207" s="199"/>
      <c r="OCX207" s="199"/>
      <c r="OCY207" s="199"/>
      <c r="OCZ207" s="199"/>
      <c r="ODA207" s="199"/>
      <c r="ODB207" s="199"/>
      <c r="ODC207" s="199"/>
      <c r="ODD207" s="199"/>
      <c r="ODE207" s="199"/>
      <c r="ODF207" s="199"/>
      <c r="ODG207" s="199"/>
      <c r="ODH207" s="199"/>
      <c r="ODI207" s="199"/>
      <c r="ODJ207" s="199"/>
      <c r="ODK207" s="199"/>
      <c r="ODL207" s="199"/>
      <c r="ODM207" s="199"/>
      <c r="ODN207" s="199"/>
      <c r="ODO207" s="199"/>
      <c r="ODP207" s="199"/>
      <c r="ODQ207" s="199"/>
      <c r="ODR207" s="199"/>
      <c r="ODS207" s="199"/>
      <c r="ODT207" s="199"/>
      <c r="ODU207" s="199"/>
      <c r="ODV207" s="199"/>
      <c r="ODW207" s="199"/>
      <c r="ODX207" s="199"/>
      <c r="ODY207" s="199"/>
      <c r="ODZ207" s="199"/>
      <c r="OEA207" s="199"/>
      <c r="OEB207" s="199"/>
      <c r="OEC207" s="199"/>
      <c r="OED207" s="199"/>
      <c r="OEE207" s="199"/>
      <c r="OEF207" s="199"/>
      <c r="OEG207" s="199"/>
      <c r="OEH207" s="199"/>
      <c r="OEI207" s="199"/>
      <c r="OEJ207" s="199"/>
      <c r="OEK207" s="199"/>
      <c r="OEL207" s="199"/>
      <c r="OEM207" s="199"/>
      <c r="OEN207" s="199"/>
      <c r="OEO207" s="199"/>
      <c r="OEP207" s="199"/>
      <c r="OEQ207" s="199"/>
      <c r="OER207" s="199"/>
      <c r="OES207" s="199"/>
      <c r="OET207" s="199"/>
      <c r="OEU207" s="199"/>
      <c r="OEV207" s="199"/>
      <c r="OEW207" s="199"/>
      <c r="OEX207" s="199"/>
      <c r="OEY207" s="199"/>
      <c r="OEZ207" s="199"/>
      <c r="OFA207" s="199"/>
      <c r="OFB207" s="199"/>
      <c r="OFC207" s="199"/>
      <c r="OFD207" s="199"/>
      <c r="OFE207" s="199"/>
      <c r="OFF207" s="199"/>
      <c r="OFG207" s="199"/>
      <c r="OFH207" s="199"/>
      <c r="OFI207" s="199"/>
      <c r="OFJ207" s="199"/>
      <c r="OFK207" s="199"/>
      <c r="OFL207" s="199"/>
      <c r="OFM207" s="199"/>
      <c r="OFN207" s="199"/>
      <c r="OFO207" s="199"/>
      <c r="OFP207" s="199"/>
      <c r="OFQ207" s="199"/>
      <c r="OFR207" s="199"/>
      <c r="OFS207" s="199"/>
      <c r="OFT207" s="199"/>
      <c r="OFU207" s="199"/>
      <c r="OFV207" s="199"/>
      <c r="OFW207" s="199"/>
      <c r="OFX207" s="199"/>
      <c r="OFY207" s="199"/>
      <c r="OFZ207" s="199"/>
      <c r="OGA207" s="199"/>
      <c r="OGB207" s="199"/>
      <c r="OGC207" s="199"/>
      <c r="OGD207" s="199"/>
      <c r="OGE207" s="199"/>
      <c r="OGF207" s="199"/>
      <c r="OGG207" s="199"/>
      <c r="OGH207" s="199"/>
      <c r="OGI207" s="199"/>
      <c r="OGJ207" s="199"/>
      <c r="OGK207" s="199"/>
      <c r="OGL207" s="199"/>
      <c r="OGM207" s="199"/>
      <c r="OGN207" s="199"/>
      <c r="OGO207" s="199"/>
      <c r="OGP207" s="199"/>
      <c r="OGQ207" s="199"/>
      <c r="OGR207" s="199"/>
      <c r="OGS207" s="199"/>
      <c r="OGT207" s="199"/>
      <c r="OGU207" s="199"/>
      <c r="OGV207" s="199"/>
      <c r="OGW207" s="199"/>
      <c r="OGX207" s="199"/>
      <c r="OGY207" s="199"/>
      <c r="OGZ207" s="199"/>
      <c r="OHA207" s="199"/>
      <c r="OHB207" s="199"/>
      <c r="OHC207" s="199"/>
      <c r="OHD207" s="199"/>
      <c r="OHE207" s="199"/>
      <c r="OHF207" s="199"/>
      <c r="OHG207" s="199"/>
      <c r="OHH207" s="199"/>
      <c r="OHI207" s="199"/>
      <c r="OHJ207" s="199"/>
      <c r="OHK207" s="199"/>
      <c r="OHL207" s="199"/>
      <c r="OHM207" s="199"/>
      <c r="OHN207" s="199"/>
      <c r="OHO207" s="199"/>
      <c r="OHP207" s="199"/>
      <c r="OHQ207" s="199"/>
      <c r="OHR207" s="199"/>
      <c r="OHS207" s="199"/>
      <c r="OHT207" s="199"/>
      <c r="OHU207" s="199"/>
      <c r="OHV207" s="199"/>
      <c r="OHW207" s="199"/>
      <c r="OHX207" s="199"/>
      <c r="OHY207" s="199"/>
      <c r="OHZ207" s="199"/>
      <c r="OIA207" s="199"/>
      <c r="OIB207" s="199"/>
      <c r="OIC207" s="199"/>
      <c r="OID207" s="199"/>
      <c r="OIE207" s="199"/>
      <c r="OIF207" s="199"/>
      <c r="OIG207" s="199"/>
      <c r="OIH207" s="199"/>
      <c r="OII207" s="199"/>
      <c r="OIJ207" s="199"/>
      <c r="OIK207" s="199"/>
      <c r="OIL207" s="199"/>
      <c r="OIM207" s="199"/>
      <c r="OIN207" s="199"/>
      <c r="OIO207" s="199"/>
      <c r="OIP207" s="199"/>
      <c r="OIQ207" s="199"/>
      <c r="OIR207" s="199"/>
      <c r="OIS207" s="199"/>
      <c r="OIT207" s="199"/>
      <c r="OIU207" s="199"/>
      <c r="OIV207" s="199"/>
      <c r="OIW207" s="199"/>
      <c r="OIX207" s="199"/>
      <c r="OIY207" s="199"/>
      <c r="OIZ207" s="199"/>
      <c r="OJA207" s="199"/>
      <c r="OJB207" s="199"/>
      <c r="OJC207" s="199"/>
      <c r="OJD207" s="199"/>
      <c r="OJE207" s="199"/>
      <c r="OJF207" s="199"/>
      <c r="OJG207" s="199"/>
      <c r="OJH207" s="199"/>
      <c r="OJI207" s="199"/>
      <c r="OJJ207" s="199"/>
      <c r="OJK207" s="199"/>
      <c r="OJL207" s="199"/>
      <c r="OJM207" s="199"/>
      <c r="OJN207" s="199"/>
      <c r="OJO207" s="199"/>
      <c r="OJP207" s="199"/>
      <c r="OJQ207" s="199"/>
      <c r="OJR207" s="199"/>
      <c r="OJS207" s="199"/>
      <c r="OJT207" s="199"/>
      <c r="OJU207" s="199"/>
      <c r="OJV207" s="199"/>
      <c r="OJW207" s="199"/>
      <c r="OJX207" s="199"/>
      <c r="OJY207" s="199"/>
      <c r="OJZ207" s="199"/>
      <c r="OKA207" s="199"/>
      <c r="OKB207" s="199"/>
      <c r="OKC207" s="199"/>
      <c r="OKD207" s="199"/>
      <c r="OKE207" s="199"/>
      <c r="OKF207" s="199"/>
      <c r="OKG207" s="199"/>
      <c r="OKH207" s="199"/>
      <c r="OKI207" s="199"/>
      <c r="OKJ207" s="199"/>
      <c r="OKK207" s="199"/>
      <c r="OKL207" s="199"/>
      <c r="OKM207" s="199"/>
      <c r="OKN207" s="199"/>
      <c r="OKO207" s="199"/>
      <c r="OKP207" s="199"/>
      <c r="OKQ207" s="199"/>
      <c r="OKR207" s="199"/>
      <c r="OKS207" s="199"/>
      <c r="OKT207" s="199"/>
      <c r="OKU207" s="199"/>
      <c r="OKV207" s="199"/>
      <c r="OKW207" s="199"/>
      <c r="OKX207" s="199"/>
      <c r="OKY207" s="199"/>
      <c r="OKZ207" s="199"/>
      <c r="OLA207" s="199"/>
      <c r="OLB207" s="199"/>
      <c r="OLC207" s="199"/>
      <c r="OLD207" s="199"/>
      <c r="OLE207" s="199"/>
      <c r="OLF207" s="199"/>
      <c r="OLG207" s="199"/>
      <c r="OLH207" s="199"/>
      <c r="OLI207" s="199"/>
      <c r="OLJ207" s="199"/>
      <c r="OLK207" s="199"/>
      <c r="OLL207" s="199"/>
      <c r="OLM207" s="199"/>
      <c r="OLN207" s="199"/>
      <c r="OLO207" s="199"/>
      <c r="OLP207" s="199"/>
      <c r="OLQ207" s="199"/>
      <c r="OLR207" s="199"/>
      <c r="OLS207" s="199"/>
      <c r="OLT207" s="199"/>
      <c r="OLU207" s="199"/>
      <c r="OLV207" s="199"/>
      <c r="OLW207" s="199"/>
      <c r="OLX207" s="199"/>
      <c r="OLY207" s="199"/>
      <c r="OLZ207" s="199"/>
      <c r="OMA207" s="199"/>
      <c r="OMB207" s="199"/>
      <c r="OMC207" s="199"/>
      <c r="OMD207" s="199"/>
      <c r="OME207" s="199"/>
      <c r="OMF207" s="199"/>
      <c r="OMG207" s="199"/>
      <c r="OMH207" s="199"/>
      <c r="OMI207" s="199"/>
      <c r="OMJ207" s="199"/>
      <c r="OMK207" s="199"/>
      <c r="OML207" s="199"/>
      <c r="OMM207" s="199"/>
      <c r="OMN207" s="199"/>
      <c r="OMO207" s="199"/>
      <c r="OMP207" s="199"/>
      <c r="OMQ207" s="199"/>
      <c r="OMR207" s="199"/>
      <c r="OMS207" s="199"/>
      <c r="OMT207" s="199"/>
      <c r="OMU207" s="199"/>
      <c r="OMV207" s="199"/>
      <c r="OMW207" s="199"/>
      <c r="OMX207" s="199"/>
      <c r="OMY207" s="199"/>
      <c r="OMZ207" s="199"/>
      <c r="ONA207" s="199"/>
      <c r="ONB207" s="199"/>
      <c r="ONC207" s="199"/>
      <c r="OND207" s="199"/>
      <c r="ONE207" s="199"/>
      <c r="ONF207" s="199"/>
      <c r="ONG207" s="199"/>
      <c r="ONH207" s="199"/>
      <c r="ONI207" s="199"/>
      <c r="ONJ207" s="199"/>
      <c r="ONK207" s="199"/>
      <c r="ONL207" s="199"/>
      <c r="ONM207" s="199"/>
      <c r="ONN207" s="199"/>
      <c r="ONO207" s="199"/>
      <c r="ONP207" s="199"/>
      <c r="ONQ207" s="199"/>
      <c r="ONR207" s="199"/>
      <c r="ONS207" s="199"/>
      <c r="ONT207" s="199"/>
      <c r="ONU207" s="199"/>
      <c r="ONV207" s="199"/>
      <c r="ONW207" s="199"/>
      <c r="ONX207" s="199"/>
      <c r="ONY207" s="199"/>
      <c r="ONZ207" s="199"/>
      <c r="OOA207" s="199"/>
      <c r="OOB207" s="199"/>
      <c r="OOC207" s="199"/>
      <c r="OOD207" s="199"/>
      <c r="OOE207" s="199"/>
      <c r="OOF207" s="199"/>
      <c r="OOG207" s="199"/>
      <c r="OOH207" s="199"/>
      <c r="OOI207" s="199"/>
      <c r="OOJ207" s="199"/>
      <c r="OOK207" s="199"/>
      <c r="OOL207" s="199"/>
      <c r="OOM207" s="199"/>
      <c r="OON207" s="199"/>
      <c r="OOO207" s="199"/>
      <c r="OOP207" s="199"/>
      <c r="OOQ207" s="199"/>
      <c r="OOR207" s="199"/>
      <c r="OOS207" s="199"/>
      <c r="OOT207" s="199"/>
      <c r="OOU207" s="199"/>
      <c r="OOV207" s="199"/>
      <c r="OOW207" s="199"/>
      <c r="OOX207" s="199"/>
      <c r="OOY207" s="199"/>
      <c r="OOZ207" s="199"/>
      <c r="OPA207" s="199"/>
      <c r="OPB207" s="199"/>
      <c r="OPC207" s="199"/>
      <c r="OPD207" s="199"/>
      <c r="OPE207" s="199"/>
      <c r="OPF207" s="199"/>
      <c r="OPG207" s="199"/>
      <c r="OPH207" s="199"/>
      <c r="OPI207" s="199"/>
      <c r="OPJ207" s="199"/>
      <c r="OPK207" s="199"/>
      <c r="OPL207" s="199"/>
      <c r="OPM207" s="199"/>
      <c r="OPN207" s="199"/>
      <c r="OPO207" s="199"/>
      <c r="OPP207" s="199"/>
      <c r="OPQ207" s="199"/>
      <c r="OPR207" s="199"/>
      <c r="OPS207" s="199"/>
      <c r="OPT207" s="199"/>
      <c r="OPU207" s="199"/>
      <c r="OPV207" s="199"/>
      <c r="OPW207" s="199"/>
      <c r="OPX207" s="199"/>
      <c r="OPY207" s="199"/>
      <c r="OPZ207" s="199"/>
      <c r="OQA207" s="199"/>
      <c r="OQB207" s="199"/>
      <c r="OQC207" s="199"/>
      <c r="OQD207" s="199"/>
      <c r="OQE207" s="199"/>
      <c r="OQF207" s="199"/>
      <c r="OQG207" s="199"/>
      <c r="OQH207" s="199"/>
      <c r="OQI207" s="199"/>
      <c r="OQJ207" s="199"/>
      <c r="OQK207" s="199"/>
      <c r="OQL207" s="199"/>
      <c r="OQM207" s="199"/>
      <c r="OQN207" s="199"/>
      <c r="OQO207" s="199"/>
      <c r="OQP207" s="199"/>
      <c r="OQQ207" s="199"/>
      <c r="OQR207" s="199"/>
      <c r="OQS207" s="199"/>
      <c r="OQT207" s="199"/>
      <c r="OQU207" s="199"/>
      <c r="OQV207" s="199"/>
      <c r="OQW207" s="199"/>
      <c r="OQX207" s="199"/>
      <c r="OQY207" s="199"/>
      <c r="OQZ207" s="199"/>
      <c r="ORA207" s="199"/>
      <c r="ORB207" s="199"/>
      <c r="ORC207" s="199"/>
      <c r="ORD207" s="199"/>
      <c r="ORE207" s="199"/>
      <c r="ORF207" s="199"/>
      <c r="ORG207" s="199"/>
      <c r="ORH207" s="199"/>
      <c r="ORI207" s="199"/>
      <c r="ORJ207" s="199"/>
      <c r="ORK207" s="199"/>
      <c r="ORL207" s="199"/>
      <c r="ORM207" s="199"/>
      <c r="ORN207" s="199"/>
      <c r="ORO207" s="199"/>
      <c r="ORP207" s="199"/>
      <c r="ORQ207" s="199"/>
      <c r="ORR207" s="199"/>
      <c r="ORS207" s="199"/>
      <c r="ORT207" s="199"/>
      <c r="ORU207" s="199"/>
      <c r="ORV207" s="199"/>
      <c r="ORW207" s="199"/>
      <c r="ORX207" s="199"/>
      <c r="ORY207" s="199"/>
      <c r="ORZ207" s="199"/>
      <c r="OSA207" s="199"/>
      <c r="OSB207" s="199"/>
      <c r="OSC207" s="199"/>
      <c r="OSD207" s="199"/>
      <c r="OSE207" s="199"/>
      <c r="OSF207" s="199"/>
      <c r="OSG207" s="199"/>
      <c r="OSH207" s="199"/>
      <c r="OSI207" s="199"/>
      <c r="OSJ207" s="199"/>
      <c r="OSK207" s="199"/>
      <c r="OSL207" s="199"/>
      <c r="OSM207" s="199"/>
      <c r="OSN207" s="199"/>
      <c r="OSO207" s="199"/>
      <c r="OSP207" s="199"/>
      <c r="OSQ207" s="199"/>
      <c r="OSR207" s="199"/>
      <c r="OSS207" s="199"/>
      <c r="OST207" s="199"/>
      <c r="OSU207" s="199"/>
      <c r="OSV207" s="199"/>
      <c r="OSW207" s="199"/>
      <c r="OSX207" s="199"/>
      <c r="OSY207" s="199"/>
      <c r="OSZ207" s="199"/>
      <c r="OTA207" s="199"/>
      <c r="OTB207" s="199"/>
      <c r="OTC207" s="199"/>
      <c r="OTD207" s="199"/>
      <c r="OTE207" s="199"/>
      <c r="OTF207" s="199"/>
      <c r="OTG207" s="199"/>
      <c r="OTH207" s="199"/>
      <c r="OTI207" s="199"/>
      <c r="OTJ207" s="199"/>
      <c r="OTK207" s="199"/>
      <c r="OTL207" s="199"/>
      <c r="OTM207" s="199"/>
      <c r="OTN207" s="199"/>
      <c r="OTO207" s="199"/>
      <c r="OTP207" s="199"/>
      <c r="OTQ207" s="199"/>
      <c r="OTR207" s="199"/>
      <c r="OTS207" s="199"/>
      <c r="OTT207" s="199"/>
      <c r="OTU207" s="199"/>
      <c r="OTV207" s="199"/>
      <c r="OTW207" s="199"/>
      <c r="OTX207" s="199"/>
      <c r="OTY207" s="199"/>
      <c r="OTZ207" s="199"/>
      <c r="OUA207" s="199"/>
      <c r="OUB207" s="199"/>
      <c r="OUC207" s="199"/>
      <c r="OUD207" s="199"/>
      <c r="OUE207" s="199"/>
      <c r="OUF207" s="199"/>
      <c r="OUG207" s="199"/>
      <c r="OUH207" s="199"/>
      <c r="OUI207" s="199"/>
      <c r="OUJ207" s="199"/>
      <c r="OUK207" s="199"/>
      <c r="OUL207" s="199"/>
      <c r="OUM207" s="199"/>
      <c r="OUN207" s="199"/>
      <c r="OUO207" s="199"/>
      <c r="OUP207" s="199"/>
      <c r="OUQ207" s="199"/>
      <c r="OUR207" s="199"/>
      <c r="OUS207" s="199"/>
      <c r="OUT207" s="199"/>
      <c r="OUU207" s="199"/>
      <c r="OUV207" s="199"/>
      <c r="OUW207" s="199"/>
      <c r="OUX207" s="199"/>
      <c r="OUY207" s="199"/>
      <c r="OUZ207" s="199"/>
      <c r="OVA207" s="199"/>
      <c r="OVB207" s="199"/>
      <c r="OVC207" s="199"/>
      <c r="OVD207" s="199"/>
      <c r="OVE207" s="199"/>
      <c r="OVF207" s="199"/>
      <c r="OVG207" s="199"/>
      <c r="OVH207" s="199"/>
      <c r="OVI207" s="199"/>
      <c r="OVJ207" s="199"/>
      <c r="OVK207" s="199"/>
      <c r="OVL207" s="199"/>
      <c r="OVM207" s="199"/>
      <c r="OVN207" s="199"/>
      <c r="OVO207" s="199"/>
      <c r="OVP207" s="199"/>
      <c r="OVQ207" s="199"/>
      <c r="OVR207" s="199"/>
      <c r="OVS207" s="199"/>
      <c r="OVT207" s="199"/>
      <c r="OVU207" s="199"/>
      <c r="OVV207" s="199"/>
      <c r="OVW207" s="199"/>
      <c r="OVX207" s="199"/>
      <c r="OVY207" s="199"/>
      <c r="OVZ207" s="199"/>
      <c r="OWA207" s="199"/>
      <c r="OWB207" s="199"/>
      <c r="OWC207" s="199"/>
      <c r="OWD207" s="199"/>
      <c r="OWE207" s="199"/>
      <c r="OWF207" s="199"/>
      <c r="OWG207" s="199"/>
      <c r="OWH207" s="199"/>
      <c r="OWI207" s="199"/>
      <c r="OWJ207" s="199"/>
      <c r="OWK207" s="199"/>
      <c r="OWL207" s="199"/>
      <c r="OWM207" s="199"/>
      <c r="OWN207" s="199"/>
      <c r="OWO207" s="199"/>
      <c r="OWP207" s="199"/>
      <c r="OWQ207" s="199"/>
      <c r="OWR207" s="199"/>
      <c r="OWS207" s="199"/>
      <c r="OWT207" s="199"/>
      <c r="OWU207" s="199"/>
      <c r="OWV207" s="199"/>
      <c r="OWW207" s="199"/>
      <c r="OWX207" s="199"/>
      <c r="OWY207" s="199"/>
      <c r="OWZ207" s="199"/>
      <c r="OXA207" s="199"/>
      <c r="OXB207" s="199"/>
      <c r="OXC207" s="199"/>
      <c r="OXD207" s="199"/>
      <c r="OXE207" s="199"/>
      <c r="OXF207" s="199"/>
      <c r="OXG207" s="199"/>
      <c r="OXH207" s="199"/>
      <c r="OXI207" s="199"/>
      <c r="OXJ207" s="199"/>
      <c r="OXK207" s="199"/>
      <c r="OXL207" s="199"/>
      <c r="OXM207" s="199"/>
      <c r="OXN207" s="199"/>
      <c r="OXO207" s="199"/>
      <c r="OXP207" s="199"/>
      <c r="OXQ207" s="199"/>
      <c r="OXR207" s="199"/>
      <c r="OXS207" s="199"/>
      <c r="OXT207" s="199"/>
      <c r="OXU207" s="199"/>
      <c r="OXV207" s="199"/>
      <c r="OXW207" s="199"/>
      <c r="OXX207" s="199"/>
      <c r="OXY207" s="199"/>
      <c r="OXZ207" s="199"/>
      <c r="OYA207" s="199"/>
      <c r="OYB207" s="199"/>
      <c r="OYC207" s="199"/>
      <c r="OYD207" s="199"/>
      <c r="OYE207" s="199"/>
      <c r="OYF207" s="199"/>
      <c r="OYG207" s="199"/>
      <c r="OYH207" s="199"/>
      <c r="OYI207" s="199"/>
      <c r="OYJ207" s="199"/>
      <c r="OYK207" s="199"/>
      <c r="OYL207" s="199"/>
      <c r="OYM207" s="199"/>
      <c r="OYN207" s="199"/>
      <c r="OYO207" s="199"/>
      <c r="OYP207" s="199"/>
      <c r="OYQ207" s="199"/>
      <c r="OYR207" s="199"/>
      <c r="OYS207" s="199"/>
      <c r="OYT207" s="199"/>
      <c r="OYU207" s="199"/>
      <c r="OYV207" s="199"/>
      <c r="OYW207" s="199"/>
      <c r="OYX207" s="199"/>
      <c r="OYY207" s="199"/>
      <c r="OYZ207" s="199"/>
      <c r="OZA207" s="199"/>
      <c r="OZB207" s="199"/>
      <c r="OZC207" s="199"/>
      <c r="OZD207" s="199"/>
      <c r="OZE207" s="199"/>
      <c r="OZF207" s="199"/>
      <c r="OZG207" s="199"/>
      <c r="OZH207" s="199"/>
      <c r="OZI207" s="199"/>
      <c r="OZJ207" s="199"/>
      <c r="OZK207" s="199"/>
      <c r="OZL207" s="199"/>
      <c r="OZM207" s="199"/>
      <c r="OZN207" s="199"/>
      <c r="OZO207" s="199"/>
      <c r="OZP207" s="199"/>
      <c r="OZQ207" s="199"/>
      <c r="OZR207" s="199"/>
      <c r="OZS207" s="199"/>
      <c r="OZT207" s="199"/>
      <c r="OZU207" s="199"/>
      <c r="OZV207" s="199"/>
      <c r="OZW207" s="199"/>
      <c r="OZX207" s="199"/>
      <c r="OZY207" s="199"/>
      <c r="OZZ207" s="199"/>
      <c r="PAA207" s="199"/>
      <c r="PAB207" s="199"/>
      <c r="PAC207" s="199"/>
      <c r="PAD207" s="199"/>
      <c r="PAE207" s="199"/>
      <c r="PAF207" s="199"/>
      <c r="PAG207" s="199"/>
      <c r="PAH207" s="199"/>
      <c r="PAI207" s="199"/>
      <c r="PAJ207" s="199"/>
      <c r="PAK207" s="199"/>
      <c r="PAL207" s="199"/>
      <c r="PAM207" s="199"/>
      <c r="PAN207" s="199"/>
      <c r="PAO207" s="199"/>
      <c r="PAP207" s="199"/>
      <c r="PAQ207" s="199"/>
      <c r="PAR207" s="199"/>
      <c r="PAS207" s="199"/>
      <c r="PAT207" s="199"/>
      <c r="PAU207" s="199"/>
      <c r="PAV207" s="199"/>
      <c r="PAW207" s="199"/>
      <c r="PAX207" s="199"/>
      <c r="PAY207" s="199"/>
      <c r="PAZ207" s="199"/>
      <c r="PBA207" s="199"/>
      <c r="PBB207" s="199"/>
      <c r="PBC207" s="199"/>
      <c r="PBD207" s="199"/>
      <c r="PBE207" s="199"/>
      <c r="PBF207" s="199"/>
      <c r="PBG207" s="199"/>
      <c r="PBH207" s="199"/>
      <c r="PBI207" s="199"/>
      <c r="PBJ207" s="199"/>
      <c r="PBK207" s="199"/>
      <c r="PBL207" s="199"/>
      <c r="PBM207" s="199"/>
      <c r="PBN207" s="199"/>
      <c r="PBO207" s="199"/>
      <c r="PBP207" s="199"/>
      <c r="PBQ207" s="199"/>
      <c r="PBR207" s="199"/>
      <c r="PBS207" s="199"/>
      <c r="PBT207" s="199"/>
      <c r="PBU207" s="199"/>
      <c r="PBV207" s="199"/>
      <c r="PBW207" s="199"/>
      <c r="PBX207" s="199"/>
      <c r="PBY207" s="199"/>
      <c r="PBZ207" s="199"/>
      <c r="PCA207" s="199"/>
      <c r="PCB207" s="199"/>
      <c r="PCC207" s="199"/>
      <c r="PCD207" s="199"/>
      <c r="PCE207" s="199"/>
      <c r="PCF207" s="199"/>
      <c r="PCG207" s="199"/>
      <c r="PCH207" s="199"/>
      <c r="PCI207" s="199"/>
      <c r="PCJ207" s="199"/>
      <c r="PCK207" s="199"/>
      <c r="PCL207" s="199"/>
      <c r="PCM207" s="199"/>
      <c r="PCN207" s="199"/>
      <c r="PCO207" s="199"/>
      <c r="PCP207" s="199"/>
      <c r="PCQ207" s="199"/>
      <c r="PCR207" s="199"/>
      <c r="PCS207" s="199"/>
      <c r="PCT207" s="199"/>
      <c r="PCU207" s="199"/>
      <c r="PCV207" s="199"/>
      <c r="PCW207" s="199"/>
      <c r="PCX207" s="199"/>
      <c r="PCY207" s="199"/>
      <c r="PCZ207" s="199"/>
      <c r="PDA207" s="199"/>
      <c r="PDB207" s="199"/>
      <c r="PDC207" s="199"/>
      <c r="PDD207" s="199"/>
      <c r="PDE207" s="199"/>
      <c r="PDF207" s="199"/>
      <c r="PDG207" s="199"/>
      <c r="PDH207" s="199"/>
      <c r="PDI207" s="199"/>
      <c r="PDJ207" s="199"/>
      <c r="PDK207" s="199"/>
      <c r="PDL207" s="199"/>
      <c r="PDM207" s="199"/>
      <c r="PDN207" s="199"/>
      <c r="PDO207" s="199"/>
      <c r="PDP207" s="199"/>
      <c r="PDQ207" s="199"/>
      <c r="PDR207" s="199"/>
      <c r="PDS207" s="199"/>
      <c r="PDT207" s="199"/>
      <c r="PDU207" s="199"/>
      <c r="PDV207" s="199"/>
      <c r="PDW207" s="199"/>
      <c r="PDX207" s="199"/>
      <c r="PDY207" s="199"/>
      <c r="PDZ207" s="199"/>
      <c r="PEA207" s="199"/>
      <c r="PEB207" s="199"/>
      <c r="PEC207" s="199"/>
      <c r="PED207" s="199"/>
      <c r="PEE207" s="199"/>
      <c r="PEF207" s="199"/>
      <c r="PEG207" s="199"/>
      <c r="PEH207" s="199"/>
      <c r="PEI207" s="199"/>
      <c r="PEJ207" s="199"/>
      <c r="PEK207" s="199"/>
      <c r="PEL207" s="199"/>
      <c r="PEM207" s="199"/>
      <c r="PEN207" s="199"/>
      <c r="PEO207" s="199"/>
      <c r="PEP207" s="199"/>
      <c r="PEQ207" s="199"/>
      <c r="PER207" s="199"/>
      <c r="PES207" s="199"/>
      <c r="PET207" s="199"/>
      <c r="PEU207" s="199"/>
      <c r="PEV207" s="199"/>
      <c r="PEW207" s="199"/>
      <c r="PEX207" s="199"/>
      <c r="PEY207" s="199"/>
      <c r="PEZ207" s="199"/>
      <c r="PFA207" s="199"/>
      <c r="PFB207" s="199"/>
      <c r="PFC207" s="199"/>
      <c r="PFD207" s="199"/>
      <c r="PFE207" s="199"/>
      <c r="PFF207" s="199"/>
      <c r="PFG207" s="199"/>
      <c r="PFH207" s="199"/>
      <c r="PFI207" s="199"/>
      <c r="PFJ207" s="199"/>
      <c r="PFK207" s="199"/>
      <c r="PFL207" s="199"/>
      <c r="PFM207" s="199"/>
      <c r="PFN207" s="199"/>
      <c r="PFO207" s="199"/>
      <c r="PFP207" s="199"/>
      <c r="PFQ207" s="199"/>
      <c r="PFR207" s="199"/>
      <c r="PFS207" s="199"/>
      <c r="PFT207" s="199"/>
      <c r="PFU207" s="199"/>
      <c r="PFV207" s="199"/>
      <c r="PFW207" s="199"/>
      <c r="PFX207" s="199"/>
      <c r="PFY207" s="199"/>
      <c r="PFZ207" s="199"/>
      <c r="PGA207" s="199"/>
      <c r="PGB207" s="199"/>
      <c r="PGC207" s="199"/>
      <c r="PGD207" s="199"/>
      <c r="PGE207" s="199"/>
      <c r="PGF207" s="199"/>
      <c r="PGG207" s="199"/>
      <c r="PGH207" s="199"/>
      <c r="PGI207" s="199"/>
      <c r="PGJ207" s="199"/>
      <c r="PGK207" s="199"/>
      <c r="PGL207" s="199"/>
      <c r="PGM207" s="199"/>
      <c r="PGN207" s="199"/>
      <c r="PGO207" s="199"/>
      <c r="PGP207" s="199"/>
      <c r="PGQ207" s="199"/>
      <c r="PGR207" s="199"/>
      <c r="PGS207" s="199"/>
      <c r="PGT207" s="199"/>
      <c r="PGU207" s="199"/>
      <c r="PGV207" s="199"/>
      <c r="PGW207" s="199"/>
      <c r="PGX207" s="199"/>
      <c r="PGY207" s="199"/>
      <c r="PGZ207" s="199"/>
      <c r="PHA207" s="199"/>
      <c r="PHB207" s="199"/>
      <c r="PHC207" s="199"/>
      <c r="PHD207" s="199"/>
      <c r="PHE207" s="199"/>
      <c r="PHF207" s="199"/>
      <c r="PHG207" s="199"/>
      <c r="PHH207" s="199"/>
      <c r="PHI207" s="199"/>
      <c r="PHJ207" s="199"/>
      <c r="PHK207" s="199"/>
      <c r="PHL207" s="199"/>
      <c r="PHM207" s="199"/>
      <c r="PHN207" s="199"/>
      <c r="PHO207" s="199"/>
      <c r="PHP207" s="199"/>
      <c r="PHQ207" s="199"/>
      <c r="PHR207" s="199"/>
      <c r="PHS207" s="199"/>
      <c r="PHT207" s="199"/>
      <c r="PHU207" s="199"/>
      <c r="PHV207" s="199"/>
      <c r="PHW207" s="199"/>
      <c r="PHX207" s="199"/>
      <c r="PHY207" s="199"/>
      <c r="PHZ207" s="199"/>
      <c r="PIA207" s="199"/>
      <c r="PIB207" s="199"/>
      <c r="PIC207" s="199"/>
      <c r="PID207" s="199"/>
      <c r="PIE207" s="199"/>
      <c r="PIF207" s="199"/>
      <c r="PIG207" s="199"/>
      <c r="PIH207" s="199"/>
      <c r="PII207" s="199"/>
      <c r="PIJ207" s="199"/>
      <c r="PIK207" s="199"/>
      <c r="PIL207" s="199"/>
      <c r="PIM207" s="199"/>
      <c r="PIN207" s="199"/>
      <c r="PIO207" s="199"/>
      <c r="PIP207" s="199"/>
      <c r="PIQ207" s="199"/>
      <c r="PIR207" s="199"/>
      <c r="PIS207" s="199"/>
      <c r="PIT207" s="199"/>
      <c r="PIU207" s="199"/>
      <c r="PIV207" s="199"/>
      <c r="PIW207" s="199"/>
      <c r="PIX207" s="199"/>
      <c r="PIY207" s="199"/>
      <c r="PIZ207" s="199"/>
      <c r="PJA207" s="199"/>
      <c r="PJB207" s="199"/>
      <c r="PJC207" s="199"/>
      <c r="PJD207" s="199"/>
      <c r="PJE207" s="199"/>
      <c r="PJF207" s="199"/>
      <c r="PJG207" s="199"/>
      <c r="PJH207" s="199"/>
      <c r="PJI207" s="199"/>
      <c r="PJJ207" s="199"/>
      <c r="PJK207" s="199"/>
      <c r="PJL207" s="199"/>
      <c r="PJM207" s="199"/>
      <c r="PJN207" s="199"/>
      <c r="PJO207" s="199"/>
      <c r="PJP207" s="199"/>
      <c r="PJQ207" s="199"/>
      <c r="PJR207" s="199"/>
      <c r="PJS207" s="199"/>
      <c r="PJT207" s="199"/>
      <c r="PJU207" s="199"/>
      <c r="PJV207" s="199"/>
      <c r="PJW207" s="199"/>
      <c r="PJX207" s="199"/>
      <c r="PJY207" s="199"/>
      <c r="PJZ207" s="199"/>
      <c r="PKA207" s="199"/>
      <c r="PKB207" s="199"/>
      <c r="PKC207" s="199"/>
      <c r="PKD207" s="199"/>
      <c r="PKE207" s="199"/>
      <c r="PKF207" s="199"/>
      <c r="PKG207" s="199"/>
      <c r="PKH207" s="199"/>
      <c r="PKI207" s="199"/>
      <c r="PKJ207" s="199"/>
      <c r="PKK207" s="199"/>
      <c r="PKL207" s="199"/>
      <c r="PKM207" s="199"/>
      <c r="PKN207" s="199"/>
      <c r="PKO207" s="199"/>
      <c r="PKP207" s="199"/>
      <c r="PKQ207" s="199"/>
      <c r="PKR207" s="199"/>
      <c r="PKS207" s="199"/>
      <c r="PKT207" s="199"/>
      <c r="PKU207" s="199"/>
      <c r="PKV207" s="199"/>
      <c r="PKW207" s="199"/>
      <c r="PKX207" s="199"/>
      <c r="PKY207" s="199"/>
      <c r="PKZ207" s="199"/>
      <c r="PLA207" s="199"/>
      <c r="PLB207" s="199"/>
      <c r="PLC207" s="199"/>
      <c r="PLD207" s="199"/>
      <c r="PLE207" s="199"/>
      <c r="PLF207" s="199"/>
      <c r="PLG207" s="199"/>
      <c r="PLH207" s="199"/>
      <c r="PLI207" s="199"/>
      <c r="PLJ207" s="199"/>
      <c r="PLK207" s="199"/>
      <c r="PLL207" s="199"/>
      <c r="PLM207" s="199"/>
      <c r="PLN207" s="199"/>
      <c r="PLO207" s="199"/>
      <c r="PLP207" s="199"/>
      <c r="PLQ207" s="199"/>
      <c r="PLR207" s="199"/>
      <c r="PLS207" s="199"/>
      <c r="PLT207" s="199"/>
      <c r="PLU207" s="199"/>
      <c r="PLV207" s="199"/>
      <c r="PLW207" s="199"/>
      <c r="PLX207" s="199"/>
      <c r="PLY207" s="199"/>
      <c r="PLZ207" s="199"/>
      <c r="PMA207" s="199"/>
      <c r="PMB207" s="199"/>
      <c r="PMC207" s="199"/>
      <c r="PMD207" s="199"/>
      <c r="PME207" s="199"/>
      <c r="PMF207" s="199"/>
      <c r="PMG207" s="199"/>
      <c r="PMH207" s="199"/>
      <c r="PMI207" s="199"/>
      <c r="PMJ207" s="199"/>
      <c r="PMK207" s="199"/>
      <c r="PML207" s="199"/>
      <c r="PMM207" s="199"/>
      <c r="PMN207" s="199"/>
      <c r="PMO207" s="199"/>
      <c r="PMP207" s="199"/>
      <c r="PMQ207" s="199"/>
      <c r="PMR207" s="199"/>
      <c r="PMS207" s="199"/>
      <c r="PMT207" s="199"/>
      <c r="PMU207" s="199"/>
      <c r="PMV207" s="199"/>
      <c r="PMW207" s="199"/>
      <c r="PMX207" s="199"/>
      <c r="PMY207" s="199"/>
      <c r="PMZ207" s="199"/>
      <c r="PNA207" s="199"/>
      <c r="PNB207" s="199"/>
      <c r="PNC207" s="199"/>
      <c r="PND207" s="199"/>
      <c r="PNE207" s="199"/>
      <c r="PNF207" s="199"/>
      <c r="PNG207" s="199"/>
      <c r="PNH207" s="199"/>
      <c r="PNI207" s="199"/>
      <c r="PNJ207" s="199"/>
      <c r="PNK207" s="199"/>
      <c r="PNL207" s="199"/>
      <c r="PNM207" s="199"/>
      <c r="PNN207" s="199"/>
      <c r="PNO207" s="199"/>
      <c r="PNP207" s="199"/>
      <c r="PNQ207" s="199"/>
      <c r="PNR207" s="199"/>
      <c r="PNS207" s="199"/>
      <c r="PNT207" s="199"/>
      <c r="PNU207" s="199"/>
      <c r="PNV207" s="199"/>
      <c r="PNW207" s="199"/>
      <c r="PNX207" s="199"/>
      <c r="PNY207" s="199"/>
      <c r="PNZ207" s="199"/>
      <c r="POA207" s="199"/>
      <c r="POB207" s="199"/>
      <c r="POC207" s="199"/>
      <c r="POD207" s="199"/>
      <c r="POE207" s="199"/>
      <c r="POF207" s="199"/>
      <c r="POG207" s="199"/>
      <c r="POH207" s="199"/>
      <c r="POI207" s="199"/>
      <c r="POJ207" s="199"/>
      <c r="POK207" s="199"/>
      <c r="POL207" s="199"/>
      <c r="POM207" s="199"/>
      <c r="PON207" s="199"/>
      <c r="POO207" s="199"/>
      <c r="POP207" s="199"/>
      <c r="POQ207" s="199"/>
      <c r="POR207" s="199"/>
      <c r="POS207" s="199"/>
      <c r="POT207" s="199"/>
      <c r="POU207" s="199"/>
      <c r="POV207" s="199"/>
      <c r="POW207" s="199"/>
      <c r="POX207" s="199"/>
      <c r="POY207" s="199"/>
      <c r="POZ207" s="199"/>
      <c r="PPA207" s="199"/>
      <c r="PPB207" s="199"/>
      <c r="PPC207" s="199"/>
      <c r="PPD207" s="199"/>
      <c r="PPE207" s="199"/>
      <c r="PPF207" s="199"/>
      <c r="PPG207" s="199"/>
      <c r="PPH207" s="199"/>
      <c r="PPI207" s="199"/>
      <c r="PPJ207" s="199"/>
      <c r="PPK207" s="199"/>
      <c r="PPL207" s="199"/>
      <c r="PPM207" s="199"/>
      <c r="PPN207" s="199"/>
      <c r="PPO207" s="199"/>
      <c r="PPP207" s="199"/>
      <c r="PPQ207" s="199"/>
      <c r="PPR207" s="199"/>
      <c r="PPS207" s="199"/>
      <c r="PPT207" s="199"/>
      <c r="PPU207" s="199"/>
      <c r="PPV207" s="199"/>
      <c r="PPW207" s="199"/>
      <c r="PPX207" s="199"/>
      <c r="PPY207" s="199"/>
      <c r="PPZ207" s="199"/>
      <c r="PQA207" s="199"/>
      <c r="PQB207" s="199"/>
      <c r="PQC207" s="199"/>
      <c r="PQD207" s="199"/>
      <c r="PQE207" s="199"/>
      <c r="PQF207" s="199"/>
      <c r="PQG207" s="199"/>
      <c r="PQH207" s="199"/>
      <c r="PQI207" s="199"/>
      <c r="PQJ207" s="199"/>
      <c r="PQK207" s="199"/>
      <c r="PQL207" s="199"/>
      <c r="PQM207" s="199"/>
      <c r="PQN207" s="199"/>
      <c r="PQO207" s="199"/>
      <c r="PQP207" s="199"/>
      <c r="PQQ207" s="199"/>
      <c r="PQR207" s="199"/>
      <c r="PQS207" s="199"/>
      <c r="PQT207" s="199"/>
      <c r="PQU207" s="199"/>
      <c r="PQV207" s="199"/>
      <c r="PQW207" s="199"/>
      <c r="PQX207" s="199"/>
      <c r="PQY207" s="199"/>
      <c r="PQZ207" s="199"/>
      <c r="PRA207" s="199"/>
      <c r="PRB207" s="199"/>
      <c r="PRC207" s="199"/>
      <c r="PRD207" s="199"/>
      <c r="PRE207" s="199"/>
      <c r="PRF207" s="199"/>
      <c r="PRG207" s="199"/>
      <c r="PRH207" s="199"/>
      <c r="PRI207" s="199"/>
      <c r="PRJ207" s="199"/>
      <c r="PRK207" s="199"/>
      <c r="PRL207" s="199"/>
      <c r="PRM207" s="199"/>
      <c r="PRN207" s="199"/>
      <c r="PRO207" s="199"/>
      <c r="PRP207" s="199"/>
      <c r="PRQ207" s="199"/>
      <c r="PRR207" s="199"/>
      <c r="PRS207" s="199"/>
      <c r="PRT207" s="199"/>
      <c r="PRU207" s="199"/>
      <c r="PRV207" s="199"/>
      <c r="PRW207" s="199"/>
      <c r="PRX207" s="199"/>
      <c r="PRY207" s="199"/>
      <c r="PRZ207" s="199"/>
      <c r="PSA207" s="199"/>
      <c r="PSB207" s="199"/>
      <c r="PSC207" s="199"/>
      <c r="PSD207" s="199"/>
      <c r="PSE207" s="199"/>
      <c r="PSF207" s="199"/>
      <c r="PSG207" s="199"/>
      <c r="PSH207" s="199"/>
      <c r="PSI207" s="199"/>
      <c r="PSJ207" s="199"/>
      <c r="PSK207" s="199"/>
      <c r="PSL207" s="199"/>
      <c r="PSM207" s="199"/>
      <c r="PSN207" s="199"/>
      <c r="PSO207" s="199"/>
      <c r="PSP207" s="199"/>
      <c r="PSQ207" s="199"/>
      <c r="PSR207" s="199"/>
      <c r="PSS207" s="199"/>
      <c r="PST207" s="199"/>
      <c r="PSU207" s="199"/>
      <c r="PSV207" s="199"/>
      <c r="PSW207" s="199"/>
      <c r="PSX207" s="199"/>
      <c r="PSY207" s="199"/>
      <c r="PSZ207" s="199"/>
      <c r="PTA207" s="199"/>
      <c r="PTB207" s="199"/>
      <c r="PTC207" s="199"/>
      <c r="PTD207" s="199"/>
      <c r="PTE207" s="199"/>
      <c r="PTF207" s="199"/>
      <c r="PTG207" s="199"/>
      <c r="PTH207" s="199"/>
      <c r="PTI207" s="199"/>
      <c r="PTJ207" s="199"/>
      <c r="PTK207" s="199"/>
      <c r="PTL207" s="199"/>
      <c r="PTM207" s="199"/>
      <c r="PTN207" s="199"/>
      <c r="PTO207" s="199"/>
      <c r="PTP207" s="199"/>
      <c r="PTQ207" s="199"/>
      <c r="PTR207" s="199"/>
      <c r="PTS207" s="199"/>
      <c r="PTT207" s="199"/>
      <c r="PTU207" s="199"/>
      <c r="PTV207" s="199"/>
      <c r="PTW207" s="199"/>
      <c r="PTX207" s="199"/>
      <c r="PTY207" s="199"/>
      <c r="PTZ207" s="199"/>
      <c r="PUA207" s="199"/>
      <c r="PUB207" s="199"/>
      <c r="PUC207" s="199"/>
      <c r="PUD207" s="199"/>
      <c r="PUE207" s="199"/>
      <c r="PUF207" s="199"/>
      <c r="PUG207" s="199"/>
      <c r="PUH207" s="199"/>
      <c r="PUI207" s="199"/>
      <c r="PUJ207" s="199"/>
      <c r="PUK207" s="199"/>
      <c r="PUL207" s="199"/>
      <c r="PUM207" s="199"/>
      <c r="PUN207" s="199"/>
      <c r="PUO207" s="199"/>
      <c r="PUP207" s="199"/>
      <c r="PUQ207" s="199"/>
      <c r="PUR207" s="199"/>
      <c r="PUS207" s="199"/>
      <c r="PUT207" s="199"/>
      <c r="PUU207" s="199"/>
      <c r="PUV207" s="199"/>
      <c r="PUW207" s="199"/>
      <c r="PUX207" s="199"/>
      <c r="PUY207" s="199"/>
      <c r="PUZ207" s="199"/>
      <c r="PVA207" s="199"/>
      <c r="PVB207" s="199"/>
      <c r="PVC207" s="199"/>
      <c r="PVD207" s="199"/>
      <c r="PVE207" s="199"/>
      <c r="PVF207" s="199"/>
      <c r="PVG207" s="199"/>
      <c r="PVH207" s="199"/>
      <c r="PVI207" s="199"/>
      <c r="PVJ207" s="199"/>
      <c r="PVK207" s="199"/>
      <c r="PVL207" s="199"/>
      <c r="PVM207" s="199"/>
      <c r="PVN207" s="199"/>
      <c r="PVO207" s="199"/>
      <c r="PVP207" s="199"/>
      <c r="PVQ207" s="199"/>
      <c r="PVR207" s="199"/>
      <c r="PVS207" s="199"/>
      <c r="PVT207" s="199"/>
      <c r="PVU207" s="199"/>
      <c r="PVV207" s="199"/>
      <c r="PVW207" s="199"/>
      <c r="PVX207" s="199"/>
      <c r="PVY207" s="199"/>
      <c r="PVZ207" s="199"/>
      <c r="PWA207" s="199"/>
      <c r="PWB207" s="199"/>
      <c r="PWC207" s="199"/>
      <c r="PWD207" s="199"/>
      <c r="PWE207" s="199"/>
      <c r="PWF207" s="199"/>
      <c r="PWG207" s="199"/>
      <c r="PWH207" s="199"/>
      <c r="PWI207" s="199"/>
      <c r="PWJ207" s="199"/>
      <c r="PWK207" s="199"/>
      <c r="PWL207" s="199"/>
      <c r="PWM207" s="199"/>
      <c r="PWN207" s="199"/>
      <c r="PWO207" s="199"/>
      <c r="PWP207" s="199"/>
      <c r="PWQ207" s="199"/>
      <c r="PWR207" s="199"/>
      <c r="PWS207" s="199"/>
      <c r="PWT207" s="199"/>
      <c r="PWU207" s="199"/>
      <c r="PWV207" s="199"/>
      <c r="PWW207" s="199"/>
      <c r="PWX207" s="199"/>
      <c r="PWY207" s="199"/>
      <c r="PWZ207" s="199"/>
      <c r="PXA207" s="199"/>
      <c r="PXB207" s="199"/>
      <c r="PXC207" s="199"/>
      <c r="PXD207" s="199"/>
      <c r="PXE207" s="199"/>
      <c r="PXF207" s="199"/>
      <c r="PXG207" s="199"/>
      <c r="PXH207" s="199"/>
      <c r="PXI207" s="199"/>
      <c r="PXJ207" s="199"/>
      <c r="PXK207" s="199"/>
      <c r="PXL207" s="199"/>
      <c r="PXM207" s="199"/>
      <c r="PXN207" s="199"/>
      <c r="PXO207" s="199"/>
      <c r="PXP207" s="199"/>
      <c r="PXQ207" s="199"/>
      <c r="PXR207" s="199"/>
      <c r="PXS207" s="199"/>
      <c r="PXT207" s="199"/>
      <c r="PXU207" s="199"/>
      <c r="PXV207" s="199"/>
      <c r="PXW207" s="199"/>
      <c r="PXX207" s="199"/>
      <c r="PXY207" s="199"/>
      <c r="PXZ207" s="199"/>
      <c r="PYA207" s="199"/>
      <c r="PYB207" s="199"/>
      <c r="PYC207" s="199"/>
      <c r="PYD207" s="199"/>
      <c r="PYE207" s="199"/>
      <c r="PYF207" s="199"/>
      <c r="PYG207" s="199"/>
      <c r="PYH207" s="199"/>
      <c r="PYI207" s="199"/>
      <c r="PYJ207" s="199"/>
      <c r="PYK207" s="199"/>
      <c r="PYL207" s="199"/>
      <c r="PYM207" s="199"/>
      <c r="PYN207" s="199"/>
      <c r="PYO207" s="199"/>
      <c r="PYP207" s="199"/>
      <c r="PYQ207" s="199"/>
      <c r="PYR207" s="199"/>
      <c r="PYS207" s="199"/>
      <c r="PYT207" s="199"/>
      <c r="PYU207" s="199"/>
      <c r="PYV207" s="199"/>
      <c r="PYW207" s="199"/>
      <c r="PYX207" s="199"/>
      <c r="PYY207" s="199"/>
      <c r="PYZ207" s="199"/>
      <c r="PZA207" s="199"/>
      <c r="PZB207" s="199"/>
      <c r="PZC207" s="199"/>
      <c r="PZD207" s="199"/>
      <c r="PZE207" s="199"/>
      <c r="PZF207" s="199"/>
      <c r="PZG207" s="199"/>
      <c r="PZH207" s="199"/>
      <c r="PZI207" s="199"/>
      <c r="PZJ207" s="199"/>
      <c r="PZK207" s="199"/>
      <c r="PZL207" s="199"/>
      <c r="PZM207" s="199"/>
      <c r="PZN207" s="199"/>
      <c r="PZO207" s="199"/>
      <c r="PZP207" s="199"/>
      <c r="PZQ207" s="199"/>
      <c r="PZR207" s="199"/>
      <c r="PZS207" s="199"/>
      <c r="PZT207" s="199"/>
      <c r="PZU207" s="199"/>
      <c r="PZV207" s="199"/>
      <c r="PZW207" s="199"/>
      <c r="PZX207" s="199"/>
      <c r="PZY207" s="199"/>
      <c r="PZZ207" s="199"/>
      <c r="QAA207" s="199"/>
      <c r="QAB207" s="199"/>
      <c r="QAC207" s="199"/>
      <c r="QAD207" s="199"/>
      <c r="QAE207" s="199"/>
      <c r="QAF207" s="199"/>
      <c r="QAG207" s="199"/>
      <c r="QAH207" s="199"/>
      <c r="QAI207" s="199"/>
      <c r="QAJ207" s="199"/>
      <c r="QAK207" s="199"/>
      <c r="QAL207" s="199"/>
      <c r="QAM207" s="199"/>
      <c r="QAN207" s="199"/>
      <c r="QAO207" s="199"/>
      <c r="QAP207" s="199"/>
      <c r="QAQ207" s="199"/>
      <c r="QAR207" s="199"/>
      <c r="QAS207" s="199"/>
      <c r="QAT207" s="199"/>
      <c r="QAU207" s="199"/>
      <c r="QAV207" s="199"/>
      <c r="QAW207" s="199"/>
      <c r="QAX207" s="199"/>
      <c r="QAY207" s="199"/>
      <c r="QAZ207" s="199"/>
      <c r="QBA207" s="199"/>
      <c r="QBB207" s="199"/>
      <c r="QBC207" s="199"/>
      <c r="QBD207" s="199"/>
      <c r="QBE207" s="199"/>
      <c r="QBF207" s="199"/>
      <c r="QBG207" s="199"/>
      <c r="QBH207" s="199"/>
      <c r="QBI207" s="199"/>
      <c r="QBJ207" s="199"/>
      <c r="QBK207" s="199"/>
      <c r="QBL207" s="199"/>
      <c r="QBM207" s="199"/>
      <c r="QBN207" s="199"/>
      <c r="QBO207" s="199"/>
      <c r="QBP207" s="199"/>
      <c r="QBQ207" s="199"/>
      <c r="QBR207" s="199"/>
      <c r="QBS207" s="199"/>
      <c r="QBT207" s="199"/>
      <c r="QBU207" s="199"/>
      <c r="QBV207" s="199"/>
      <c r="QBW207" s="199"/>
      <c r="QBX207" s="199"/>
      <c r="QBY207" s="199"/>
      <c r="QBZ207" s="199"/>
      <c r="QCA207" s="199"/>
      <c r="QCB207" s="199"/>
      <c r="QCC207" s="199"/>
      <c r="QCD207" s="199"/>
      <c r="QCE207" s="199"/>
      <c r="QCF207" s="199"/>
      <c r="QCG207" s="199"/>
      <c r="QCH207" s="199"/>
      <c r="QCI207" s="199"/>
      <c r="QCJ207" s="199"/>
      <c r="QCK207" s="199"/>
      <c r="QCL207" s="199"/>
      <c r="QCM207" s="199"/>
      <c r="QCN207" s="199"/>
      <c r="QCO207" s="199"/>
      <c r="QCP207" s="199"/>
      <c r="QCQ207" s="199"/>
      <c r="QCR207" s="199"/>
      <c r="QCS207" s="199"/>
      <c r="QCT207" s="199"/>
      <c r="QCU207" s="199"/>
      <c r="QCV207" s="199"/>
      <c r="QCW207" s="199"/>
      <c r="QCX207" s="199"/>
      <c r="QCY207" s="199"/>
      <c r="QCZ207" s="199"/>
      <c r="QDA207" s="199"/>
      <c r="QDB207" s="199"/>
      <c r="QDC207" s="199"/>
      <c r="QDD207" s="199"/>
      <c r="QDE207" s="199"/>
      <c r="QDF207" s="199"/>
      <c r="QDG207" s="199"/>
      <c r="QDH207" s="199"/>
      <c r="QDI207" s="199"/>
      <c r="QDJ207" s="199"/>
      <c r="QDK207" s="199"/>
      <c r="QDL207" s="199"/>
      <c r="QDM207" s="199"/>
      <c r="QDN207" s="199"/>
      <c r="QDO207" s="199"/>
      <c r="QDP207" s="199"/>
      <c r="QDQ207" s="199"/>
      <c r="QDR207" s="199"/>
      <c r="QDS207" s="199"/>
      <c r="QDT207" s="199"/>
      <c r="QDU207" s="199"/>
      <c r="QDV207" s="199"/>
      <c r="QDW207" s="199"/>
      <c r="QDX207" s="199"/>
      <c r="QDY207" s="199"/>
      <c r="QDZ207" s="199"/>
      <c r="QEA207" s="199"/>
      <c r="QEB207" s="199"/>
      <c r="QEC207" s="199"/>
      <c r="QED207" s="199"/>
      <c r="QEE207" s="199"/>
      <c r="QEF207" s="199"/>
      <c r="QEG207" s="199"/>
      <c r="QEH207" s="199"/>
      <c r="QEI207" s="199"/>
      <c r="QEJ207" s="199"/>
      <c r="QEK207" s="199"/>
      <c r="QEL207" s="199"/>
      <c r="QEM207" s="199"/>
      <c r="QEN207" s="199"/>
      <c r="QEO207" s="199"/>
      <c r="QEP207" s="199"/>
      <c r="QEQ207" s="199"/>
      <c r="QER207" s="199"/>
      <c r="QES207" s="199"/>
      <c r="QET207" s="199"/>
      <c r="QEU207" s="199"/>
      <c r="QEV207" s="199"/>
      <c r="QEW207" s="199"/>
      <c r="QEX207" s="199"/>
      <c r="QEY207" s="199"/>
      <c r="QEZ207" s="199"/>
      <c r="QFA207" s="199"/>
      <c r="QFB207" s="199"/>
      <c r="QFC207" s="199"/>
      <c r="QFD207" s="199"/>
      <c r="QFE207" s="199"/>
      <c r="QFF207" s="199"/>
      <c r="QFG207" s="199"/>
      <c r="QFH207" s="199"/>
      <c r="QFI207" s="199"/>
      <c r="QFJ207" s="199"/>
      <c r="QFK207" s="199"/>
      <c r="QFL207" s="199"/>
      <c r="QFM207" s="199"/>
      <c r="QFN207" s="199"/>
      <c r="QFO207" s="199"/>
      <c r="QFP207" s="199"/>
      <c r="QFQ207" s="199"/>
      <c r="QFR207" s="199"/>
      <c r="QFS207" s="199"/>
      <c r="QFT207" s="199"/>
      <c r="QFU207" s="199"/>
      <c r="QFV207" s="199"/>
      <c r="QFW207" s="199"/>
      <c r="QFX207" s="199"/>
      <c r="QFY207" s="199"/>
      <c r="QFZ207" s="199"/>
      <c r="QGA207" s="199"/>
      <c r="QGB207" s="199"/>
      <c r="QGC207" s="199"/>
      <c r="QGD207" s="199"/>
      <c r="QGE207" s="199"/>
      <c r="QGF207" s="199"/>
      <c r="QGG207" s="199"/>
      <c r="QGH207" s="199"/>
      <c r="QGI207" s="199"/>
      <c r="QGJ207" s="199"/>
      <c r="QGK207" s="199"/>
      <c r="QGL207" s="199"/>
      <c r="QGM207" s="199"/>
      <c r="QGN207" s="199"/>
      <c r="QGO207" s="199"/>
      <c r="QGP207" s="199"/>
      <c r="QGQ207" s="199"/>
      <c r="QGR207" s="199"/>
      <c r="QGS207" s="199"/>
      <c r="QGT207" s="199"/>
      <c r="QGU207" s="199"/>
      <c r="QGV207" s="199"/>
      <c r="QGW207" s="199"/>
      <c r="QGX207" s="199"/>
      <c r="QGY207" s="199"/>
      <c r="QGZ207" s="199"/>
      <c r="QHA207" s="199"/>
      <c r="QHB207" s="199"/>
      <c r="QHC207" s="199"/>
      <c r="QHD207" s="199"/>
      <c r="QHE207" s="199"/>
      <c r="QHF207" s="199"/>
      <c r="QHG207" s="199"/>
      <c r="QHH207" s="199"/>
      <c r="QHI207" s="199"/>
      <c r="QHJ207" s="199"/>
      <c r="QHK207" s="199"/>
      <c r="QHL207" s="199"/>
      <c r="QHM207" s="199"/>
      <c r="QHN207" s="199"/>
      <c r="QHO207" s="199"/>
      <c r="QHP207" s="199"/>
      <c r="QHQ207" s="199"/>
      <c r="QHR207" s="199"/>
      <c r="QHS207" s="199"/>
      <c r="QHT207" s="199"/>
      <c r="QHU207" s="199"/>
      <c r="QHV207" s="199"/>
      <c r="QHW207" s="199"/>
      <c r="QHX207" s="199"/>
      <c r="QHY207" s="199"/>
      <c r="QHZ207" s="199"/>
      <c r="QIA207" s="199"/>
      <c r="QIB207" s="199"/>
      <c r="QIC207" s="199"/>
      <c r="QID207" s="199"/>
      <c r="QIE207" s="199"/>
      <c r="QIF207" s="199"/>
      <c r="QIG207" s="199"/>
      <c r="QIH207" s="199"/>
      <c r="QII207" s="199"/>
      <c r="QIJ207" s="199"/>
      <c r="QIK207" s="199"/>
      <c r="QIL207" s="199"/>
      <c r="QIM207" s="199"/>
      <c r="QIN207" s="199"/>
      <c r="QIO207" s="199"/>
      <c r="QIP207" s="199"/>
      <c r="QIQ207" s="199"/>
      <c r="QIR207" s="199"/>
      <c r="QIS207" s="199"/>
      <c r="QIT207" s="199"/>
      <c r="QIU207" s="199"/>
      <c r="QIV207" s="199"/>
      <c r="QIW207" s="199"/>
      <c r="QIX207" s="199"/>
      <c r="QIY207" s="199"/>
      <c r="QIZ207" s="199"/>
      <c r="QJA207" s="199"/>
      <c r="QJB207" s="199"/>
      <c r="QJC207" s="199"/>
      <c r="QJD207" s="199"/>
      <c r="QJE207" s="199"/>
      <c r="QJF207" s="199"/>
      <c r="QJG207" s="199"/>
      <c r="QJH207" s="199"/>
      <c r="QJI207" s="199"/>
      <c r="QJJ207" s="199"/>
      <c r="QJK207" s="199"/>
      <c r="QJL207" s="199"/>
      <c r="QJM207" s="199"/>
      <c r="QJN207" s="199"/>
      <c r="QJO207" s="199"/>
      <c r="QJP207" s="199"/>
      <c r="QJQ207" s="199"/>
      <c r="QJR207" s="199"/>
      <c r="QJS207" s="199"/>
      <c r="QJT207" s="199"/>
      <c r="QJU207" s="199"/>
      <c r="QJV207" s="199"/>
      <c r="QJW207" s="199"/>
      <c r="QJX207" s="199"/>
      <c r="QJY207" s="199"/>
      <c r="QJZ207" s="199"/>
      <c r="QKA207" s="199"/>
      <c r="QKB207" s="199"/>
      <c r="QKC207" s="199"/>
      <c r="QKD207" s="199"/>
      <c r="QKE207" s="199"/>
      <c r="QKF207" s="199"/>
      <c r="QKG207" s="199"/>
      <c r="QKH207" s="199"/>
      <c r="QKI207" s="199"/>
      <c r="QKJ207" s="199"/>
      <c r="QKK207" s="199"/>
      <c r="QKL207" s="199"/>
      <c r="QKM207" s="199"/>
      <c r="QKN207" s="199"/>
      <c r="QKO207" s="199"/>
      <c r="QKP207" s="199"/>
      <c r="QKQ207" s="199"/>
      <c r="QKR207" s="199"/>
      <c r="QKS207" s="199"/>
      <c r="QKT207" s="199"/>
      <c r="QKU207" s="199"/>
      <c r="QKV207" s="199"/>
      <c r="QKW207" s="199"/>
      <c r="QKX207" s="199"/>
      <c r="QKY207" s="199"/>
      <c r="QKZ207" s="199"/>
      <c r="QLA207" s="199"/>
      <c r="QLB207" s="199"/>
      <c r="QLC207" s="199"/>
      <c r="QLD207" s="199"/>
      <c r="QLE207" s="199"/>
      <c r="QLF207" s="199"/>
      <c r="QLG207" s="199"/>
      <c r="QLH207" s="199"/>
      <c r="QLI207" s="199"/>
      <c r="QLJ207" s="199"/>
      <c r="QLK207" s="199"/>
      <c r="QLL207" s="199"/>
      <c r="QLM207" s="199"/>
      <c r="QLN207" s="199"/>
      <c r="QLO207" s="199"/>
      <c r="QLP207" s="199"/>
      <c r="QLQ207" s="199"/>
      <c r="QLR207" s="199"/>
      <c r="QLS207" s="199"/>
      <c r="QLT207" s="199"/>
      <c r="QLU207" s="199"/>
      <c r="QLV207" s="199"/>
      <c r="QLW207" s="199"/>
      <c r="QLX207" s="199"/>
      <c r="QLY207" s="199"/>
      <c r="QLZ207" s="199"/>
      <c r="QMA207" s="199"/>
      <c r="QMB207" s="199"/>
      <c r="QMC207" s="199"/>
      <c r="QMD207" s="199"/>
      <c r="QME207" s="199"/>
      <c r="QMF207" s="199"/>
      <c r="QMG207" s="199"/>
      <c r="QMH207" s="199"/>
      <c r="QMI207" s="199"/>
      <c r="QMJ207" s="199"/>
      <c r="QMK207" s="199"/>
      <c r="QML207" s="199"/>
      <c r="QMM207" s="199"/>
      <c r="QMN207" s="199"/>
      <c r="QMO207" s="199"/>
      <c r="QMP207" s="199"/>
      <c r="QMQ207" s="199"/>
      <c r="QMR207" s="199"/>
      <c r="QMS207" s="199"/>
      <c r="QMT207" s="199"/>
      <c r="QMU207" s="199"/>
      <c r="QMV207" s="199"/>
      <c r="QMW207" s="199"/>
      <c r="QMX207" s="199"/>
      <c r="QMY207" s="199"/>
      <c r="QMZ207" s="199"/>
      <c r="QNA207" s="199"/>
      <c r="QNB207" s="199"/>
      <c r="QNC207" s="199"/>
      <c r="QND207" s="199"/>
      <c r="QNE207" s="199"/>
      <c r="QNF207" s="199"/>
      <c r="QNG207" s="199"/>
      <c r="QNH207" s="199"/>
      <c r="QNI207" s="199"/>
      <c r="QNJ207" s="199"/>
      <c r="QNK207" s="199"/>
      <c r="QNL207" s="199"/>
      <c r="QNM207" s="199"/>
      <c r="QNN207" s="199"/>
      <c r="QNO207" s="199"/>
      <c r="QNP207" s="199"/>
      <c r="QNQ207" s="199"/>
      <c r="QNR207" s="199"/>
      <c r="QNS207" s="199"/>
      <c r="QNT207" s="199"/>
      <c r="QNU207" s="199"/>
      <c r="QNV207" s="199"/>
      <c r="QNW207" s="199"/>
      <c r="QNX207" s="199"/>
      <c r="QNY207" s="199"/>
      <c r="QNZ207" s="199"/>
      <c r="QOA207" s="199"/>
      <c r="QOB207" s="199"/>
      <c r="QOC207" s="199"/>
      <c r="QOD207" s="199"/>
      <c r="QOE207" s="199"/>
      <c r="QOF207" s="199"/>
      <c r="QOG207" s="199"/>
      <c r="QOH207" s="199"/>
      <c r="QOI207" s="199"/>
      <c r="QOJ207" s="199"/>
      <c r="QOK207" s="199"/>
      <c r="QOL207" s="199"/>
      <c r="QOM207" s="199"/>
      <c r="QON207" s="199"/>
      <c r="QOO207" s="199"/>
      <c r="QOP207" s="199"/>
      <c r="QOQ207" s="199"/>
      <c r="QOR207" s="199"/>
      <c r="QOS207" s="199"/>
      <c r="QOT207" s="199"/>
      <c r="QOU207" s="199"/>
      <c r="QOV207" s="199"/>
      <c r="QOW207" s="199"/>
      <c r="QOX207" s="199"/>
      <c r="QOY207" s="199"/>
      <c r="QOZ207" s="199"/>
      <c r="QPA207" s="199"/>
      <c r="QPB207" s="199"/>
      <c r="QPC207" s="199"/>
      <c r="QPD207" s="199"/>
      <c r="QPE207" s="199"/>
      <c r="QPF207" s="199"/>
      <c r="QPG207" s="199"/>
      <c r="QPH207" s="199"/>
      <c r="QPI207" s="199"/>
      <c r="QPJ207" s="199"/>
      <c r="QPK207" s="199"/>
      <c r="QPL207" s="199"/>
      <c r="QPM207" s="199"/>
      <c r="QPN207" s="199"/>
      <c r="QPO207" s="199"/>
      <c r="QPP207" s="199"/>
      <c r="QPQ207" s="199"/>
      <c r="QPR207" s="199"/>
      <c r="QPS207" s="199"/>
      <c r="QPT207" s="199"/>
      <c r="QPU207" s="199"/>
      <c r="QPV207" s="199"/>
      <c r="QPW207" s="199"/>
      <c r="QPX207" s="199"/>
      <c r="QPY207" s="199"/>
      <c r="QPZ207" s="199"/>
      <c r="QQA207" s="199"/>
      <c r="QQB207" s="199"/>
      <c r="QQC207" s="199"/>
      <c r="QQD207" s="199"/>
      <c r="QQE207" s="199"/>
      <c r="QQF207" s="199"/>
      <c r="QQG207" s="199"/>
      <c r="QQH207" s="199"/>
      <c r="QQI207" s="199"/>
      <c r="QQJ207" s="199"/>
      <c r="QQK207" s="199"/>
      <c r="QQL207" s="199"/>
      <c r="QQM207" s="199"/>
      <c r="QQN207" s="199"/>
      <c r="QQO207" s="199"/>
      <c r="QQP207" s="199"/>
      <c r="QQQ207" s="199"/>
      <c r="QQR207" s="199"/>
      <c r="QQS207" s="199"/>
      <c r="QQT207" s="199"/>
      <c r="QQU207" s="199"/>
      <c r="QQV207" s="199"/>
      <c r="QQW207" s="199"/>
      <c r="QQX207" s="199"/>
      <c r="QQY207" s="199"/>
      <c r="QQZ207" s="199"/>
      <c r="QRA207" s="199"/>
      <c r="QRB207" s="199"/>
      <c r="QRC207" s="199"/>
      <c r="QRD207" s="199"/>
      <c r="QRE207" s="199"/>
      <c r="QRF207" s="199"/>
      <c r="QRG207" s="199"/>
      <c r="QRH207" s="199"/>
      <c r="QRI207" s="199"/>
      <c r="QRJ207" s="199"/>
      <c r="QRK207" s="199"/>
      <c r="QRL207" s="199"/>
      <c r="QRM207" s="199"/>
      <c r="QRN207" s="199"/>
      <c r="QRO207" s="199"/>
      <c r="QRP207" s="199"/>
      <c r="QRQ207" s="199"/>
      <c r="QRR207" s="199"/>
      <c r="QRS207" s="199"/>
      <c r="QRT207" s="199"/>
      <c r="QRU207" s="199"/>
      <c r="QRV207" s="199"/>
      <c r="QRW207" s="199"/>
      <c r="QRX207" s="199"/>
      <c r="QRY207" s="199"/>
      <c r="QRZ207" s="199"/>
      <c r="QSA207" s="199"/>
      <c r="QSB207" s="199"/>
      <c r="QSC207" s="199"/>
      <c r="QSD207" s="199"/>
      <c r="QSE207" s="199"/>
      <c r="QSF207" s="199"/>
      <c r="QSG207" s="199"/>
      <c r="QSH207" s="199"/>
      <c r="QSI207" s="199"/>
      <c r="QSJ207" s="199"/>
      <c r="QSK207" s="199"/>
      <c r="QSL207" s="199"/>
      <c r="QSM207" s="199"/>
      <c r="QSN207" s="199"/>
      <c r="QSO207" s="199"/>
      <c r="QSP207" s="199"/>
      <c r="QSQ207" s="199"/>
      <c r="QSR207" s="199"/>
      <c r="QSS207" s="199"/>
      <c r="QST207" s="199"/>
      <c r="QSU207" s="199"/>
      <c r="QSV207" s="199"/>
      <c r="QSW207" s="199"/>
      <c r="QSX207" s="199"/>
      <c r="QSY207" s="199"/>
      <c r="QSZ207" s="199"/>
      <c r="QTA207" s="199"/>
      <c r="QTB207" s="199"/>
      <c r="QTC207" s="199"/>
      <c r="QTD207" s="199"/>
      <c r="QTE207" s="199"/>
      <c r="QTF207" s="199"/>
      <c r="QTG207" s="199"/>
      <c r="QTH207" s="199"/>
      <c r="QTI207" s="199"/>
      <c r="QTJ207" s="199"/>
      <c r="QTK207" s="199"/>
      <c r="QTL207" s="199"/>
      <c r="QTM207" s="199"/>
      <c r="QTN207" s="199"/>
      <c r="QTO207" s="199"/>
      <c r="QTP207" s="199"/>
      <c r="QTQ207" s="199"/>
      <c r="QTR207" s="199"/>
      <c r="QTS207" s="199"/>
      <c r="QTT207" s="199"/>
      <c r="QTU207" s="199"/>
      <c r="QTV207" s="199"/>
      <c r="QTW207" s="199"/>
      <c r="QTX207" s="199"/>
      <c r="QTY207" s="199"/>
      <c r="QTZ207" s="199"/>
      <c r="QUA207" s="199"/>
      <c r="QUB207" s="199"/>
      <c r="QUC207" s="199"/>
      <c r="QUD207" s="199"/>
      <c r="QUE207" s="199"/>
      <c r="QUF207" s="199"/>
      <c r="QUG207" s="199"/>
      <c r="QUH207" s="199"/>
      <c r="QUI207" s="199"/>
      <c r="QUJ207" s="199"/>
      <c r="QUK207" s="199"/>
      <c r="QUL207" s="199"/>
      <c r="QUM207" s="199"/>
      <c r="QUN207" s="199"/>
      <c r="QUO207" s="199"/>
      <c r="QUP207" s="199"/>
      <c r="QUQ207" s="199"/>
      <c r="QUR207" s="199"/>
      <c r="QUS207" s="199"/>
      <c r="QUT207" s="199"/>
      <c r="QUU207" s="199"/>
      <c r="QUV207" s="199"/>
      <c r="QUW207" s="199"/>
      <c r="QUX207" s="199"/>
      <c r="QUY207" s="199"/>
      <c r="QUZ207" s="199"/>
      <c r="QVA207" s="199"/>
      <c r="QVB207" s="199"/>
      <c r="QVC207" s="199"/>
      <c r="QVD207" s="199"/>
      <c r="QVE207" s="199"/>
      <c r="QVF207" s="199"/>
      <c r="QVG207" s="199"/>
      <c r="QVH207" s="199"/>
      <c r="QVI207" s="199"/>
      <c r="QVJ207" s="199"/>
      <c r="QVK207" s="199"/>
      <c r="QVL207" s="199"/>
      <c r="QVM207" s="199"/>
      <c r="QVN207" s="199"/>
      <c r="QVO207" s="199"/>
      <c r="QVP207" s="199"/>
      <c r="QVQ207" s="199"/>
      <c r="QVR207" s="199"/>
      <c r="QVS207" s="199"/>
      <c r="QVT207" s="199"/>
      <c r="QVU207" s="199"/>
      <c r="QVV207" s="199"/>
      <c r="QVW207" s="199"/>
      <c r="QVX207" s="199"/>
      <c r="QVY207" s="199"/>
      <c r="QVZ207" s="199"/>
      <c r="QWA207" s="199"/>
      <c r="QWB207" s="199"/>
      <c r="QWC207" s="199"/>
      <c r="QWD207" s="199"/>
      <c r="QWE207" s="199"/>
      <c r="QWF207" s="199"/>
      <c r="QWG207" s="199"/>
      <c r="QWH207" s="199"/>
      <c r="QWI207" s="199"/>
      <c r="QWJ207" s="199"/>
      <c r="QWK207" s="199"/>
      <c r="QWL207" s="199"/>
      <c r="QWM207" s="199"/>
      <c r="QWN207" s="199"/>
      <c r="QWO207" s="199"/>
      <c r="QWP207" s="199"/>
      <c r="QWQ207" s="199"/>
      <c r="QWR207" s="199"/>
      <c r="QWS207" s="199"/>
      <c r="QWT207" s="199"/>
      <c r="QWU207" s="199"/>
      <c r="QWV207" s="199"/>
      <c r="QWW207" s="199"/>
      <c r="QWX207" s="199"/>
      <c r="QWY207" s="199"/>
      <c r="QWZ207" s="199"/>
      <c r="QXA207" s="199"/>
      <c r="QXB207" s="199"/>
      <c r="QXC207" s="199"/>
      <c r="QXD207" s="199"/>
      <c r="QXE207" s="199"/>
      <c r="QXF207" s="199"/>
      <c r="QXG207" s="199"/>
      <c r="QXH207" s="199"/>
      <c r="QXI207" s="199"/>
      <c r="QXJ207" s="199"/>
      <c r="QXK207" s="199"/>
      <c r="QXL207" s="199"/>
      <c r="QXM207" s="199"/>
      <c r="QXN207" s="199"/>
      <c r="QXO207" s="199"/>
      <c r="QXP207" s="199"/>
      <c r="QXQ207" s="199"/>
      <c r="QXR207" s="199"/>
      <c r="QXS207" s="199"/>
      <c r="QXT207" s="199"/>
      <c r="QXU207" s="199"/>
      <c r="QXV207" s="199"/>
      <c r="QXW207" s="199"/>
      <c r="QXX207" s="199"/>
      <c r="QXY207" s="199"/>
      <c r="QXZ207" s="199"/>
      <c r="QYA207" s="199"/>
      <c r="QYB207" s="199"/>
      <c r="QYC207" s="199"/>
      <c r="QYD207" s="199"/>
      <c r="QYE207" s="199"/>
      <c r="QYF207" s="199"/>
      <c r="QYG207" s="199"/>
      <c r="QYH207" s="199"/>
      <c r="QYI207" s="199"/>
      <c r="QYJ207" s="199"/>
      <c r="QYK207" s="199"/>
      <c r="QYL207" s="199"/>
      <c r="QYM207" s="199"/>
      <c r="QYN207" s="199"/>
      <c r="QYO207" s="199"/>
      <c r="QYP207" s="199"/>
      <c r="QYQ207" s="199"/>
      <c r="QYR207" s="199"/>
      <c r="QYS207" s="199"/>
      <c r="QYT207" s="199"/>
      <c r="QYU207" s="199"/>
      <c r="QYV207" s="199"/>
      <c r="QYW207" s="199"/>
      <c r="QYX207" s="199"/>
      <c r="QYY207" s="199"/>
      <c r="QYZ207" s="199"/>
      <c r="QZA207" s="199"/>
      <c r="QZB207" s="199"/>
      <c r="QZC207" s="199"/>
      <c r="QZD207" s="199"/>
      <c r="QZE207" s="199"/>
      <c r="QZF207" s="199"/>
      <c r="QZG207" s="199"/>
      <c r="QZH207" s="199"/>
      <c r="QZI207" s="199"/>
      <c r="QZJ207" s="199"/>
      <c r="QZK207" s="199"/>
      <c r="QZL207" s="199"/>
      <c r="QZM207" s="199"/>
      <c r="QZN207" s="199"/>
      <c r="QZO207" s="199"/>
      <c r="QZP207" s="199"/>
      <c r="QZQ207" s="199"/>
      <c r="QZR207" s="199"/>
      <c r="QZS207" s="199"/>
      <c r="QZT207" s="199"/>
      <c r="QZU207" s="199"/>
      <c r="QZV207" s="199"/>
      <c r="QZW207" s="199"/>
      <c r="QZX207" s="199"/>
      <c r="QZY207" s="199"/>
      <c r="QZZ207" s="199"/>
      <c r="RAA207" s="199"/>
      <c r="RAB207" s="199"/>
      <c r="RAC207" s="199"/>
      <c r="RAD207" s="199"/>
      <c r="RAE207" s="199"/>
      <c r="RAF207" s="199"/>
      <c r="RAG207" s="199"/>
      <c r="RAH207" s="199"/>
      <c r="RAI207" s="199"/>
      <c r="RAJ207" s="199"/>
      <c r="RAK207" s="199"/>
      <c r="RAL207" s="199"/>
      <c r="RAM207" s="199"/>
      <c r="RAN207" s="199"/>
      <c r="RAO207" s="199"/>
      <c r="RAP207" s="199"/>
      <c r="RAQ207" s="199"/>
      <c r="RAR207" s="199"/>
      <c r="RAS207" s="199"/>
      <c r="RAT207" s="199"/>
      <c r="RAU207" s="199"/>
      <c r="RAV207" s="199"/>
      <c r="RAW207" s="199"/>
      <c r="RAX207" s="199"/>
      <c r="RAY207" s="199"/>
      <c r="RAZ207" s="199"/>
      <c r="RBA207" s="199"/>
      <c r="RBB207" s="199"/>
      <c r="RBC207" s="199"/>
      <c r="RBD207" s="199"/>
      <c r="RBE207" s="199"/>
      <c r="RBF207" s="199"/>
      <c r="RBG207" s="199"/>
      <c r="RBH207" s="199"/>
      <c r="RBI207" s="199"/>
      <c r="RBJ207" s="199"/>
      <c r="RBK207" s="199"/>
      <c r="RBL207" s="199"/>
      <c r="RBM207" s="199"/>
      <c r="RBN207" s="199"/>
      <c r="RBO207" s="199"/>
      <c r="RBP207" s="199"/>
      <c r="RBQ207" s="199"/>
      <c r="RBR207" s="199"/>
      <c r="RBS207" s="199"/>
      <c r="RBT207" s="199"/>
      <c r="RBU207" s="199"/>
      <c r="RBV207" s="199"/>
      <c r="RBW207" s="199"/>
      <c r="RBX207" s="199"/>
      <c r="RBY207" s="199"/>
      <c r="RBZ207" s="199"/>
      <c r="RCA207" s="199"/>
      <c r="RCB207" s="199"/>
      <c r="RCC207" s="199"/>
      <c r="RCD207" s="199"/>
      <c r="RCE207" s="199"/>
      <c r="RCF207" s="199"/>
      <c r="RCG207" s="199"/>
      <c r="RCH207" s="199"/>
      <c r="RCI207" s="199"/>
      <c r="RCJ207" s="199"/>
      <c r="RCK207" s="199"/>
      <c r="RCL207" s="199"/>
      <c r="RCM207" s="199"/>
      <c r="RCN207" s="199"/>
      <c r="RCO207" s="199"/>
      <c r="RCP207" s="199"/>
      <c r="RCQ207" s="199"/>
      <c r="RCR207" s="199"/>
      <c r="RCS207" s="199"/>
      <c r="RCT207" s="199"/>
      <c r="RCU207" s="199"/>
      <c r="RCV207" s="199"/>
      <c r="RCW207" s="199"/>
      <c r="RCX207" s="199"/>
      <c r="RCY207" s="199"/>
      <c r="RCZ207" s="199"/>
      <c r="RDA207" s="199"/>
      <c r="RDB207" s="199"/>
      <c r="RDC207" s="199"/>
      <c r="RDD207" s="199"/>
      <c r="RDE207" s="199"/>
      <c r="RDF207" s="199"/>
      <c r="RDG207" s="199"/>
      <c r="RDH207" s="199"/>
      <c r="RDI207" s="199"/>
      <c r="RDJ207" s="199"/>
      <c r="RDK207" s="199"/>
      <c r="RDL207" s="199"/>
      <c r="RDM207" s="199"/>
      <c r="RDN207" s="199"/>
      <c r="RDO207" s="199"/>
      <c r="RDP207" s="199"/>
      <c r="RDQ207" s="199"/>
      <c r="RDR207" s="199"/>
      <c r="RDS207" s="199"/>
      <c r="RDT207" s="199"/>
      <c r="RDU207" s="199"/>
      <c r="RDV207" s="199"/>
      <c r="RDW207" s="199"/>
      <c r="RDX207" s="199"/>
      <c r="RDY207" s="199"/>
      <c r="RDZ207" s="199"/>
      <c r="REA207" s="199"/>
      <c r="REB207" s="199"/>
      <c r="REC207" s="199"/>
      <c r="RED207" s="199"/>
      <c r="REE207" s="199"/>
      <c r="REF207" s="199"/>
      <c r="REG207" s="199"/>
      <c r="REH207" s="199"/>
      <c r="REI207" s="199"/>
      <c r="REJ207" s="199"/>
      <c r="REK207" s="199"/>
      <c r="REL207" s="199"/>
      <c r="REM207" s="199"/>
      <c r="REN207" s="199"/>
      <c r="REO207" s="199"/>
      <c r="REP207" s="199"/>
      <c r="REQ207" s="199"/>
      <c r="RER207" s="199"/>
      <c r="RES207" s="199"/>
      <c r="RET207" s="199"/>
      <c r="REU207" s="199"/>
      <c r="REV207" s="199"/>
      <c r="REW207" s="199"/>
      <c r="REX207" s="199"/>
      <c r="REY207" s="199"/>
      <c r="REZ207" s="199"/>
      <c r="RFA207" s="199"/>
      <c r="RFB207" s="199"/>
      <c r="RFC207" s="199"/>
      <c r="RFD207" s="199"/>
      <c r="RFE207" s="199"/>
      <c r="RFF207" s="199"/>
      <c r="RFG207" s="199"/>
      <c r="RFH207" s="199"/>
      <c r="RFI207" s="199"/>
      <c r="RFJ207" s="199"/>
      <c r="RFK207" s="199"/>
      <c r="RFL207" s="199"/>
      <c r="RFM207" s="199"/>
      <c r="RFN207" s="199"/>
      <c r="RFO207" s="199"/>
      <c r="RFP207" s="199"/>
      <c r="RFQ207" s="199"/>
      <c r="RFR207" s="199"/>
      <c r="RFS207" s="199"/>
      <c r="RFT207" s="199"/>
      <c r="RFU207" s="199"/>
      <c r="RFV207" s="199"/>
      <c r="RFW207" s="199"/>
      <c r="RFX207" s="199"/>
      <c r="RFY207" s="199"/>
      <c r="RFZ207" s="199"/>
      <c r="RGA207" s="199"/>
      <c r="RGB207" s="199"/>
      <c r="RGC207" s="199"/>
      <c r="RGD207" s="199"/>
      <c r="RGE207" s="199"/>
      <c r="RGF207" s="199"/>
      <c r="RGG207" s="199"/>
      <c r="RGH207" s="199"/>
      <c r="RGI207" s="199"/>
      <c r="RGJ207" s="199"/>
      <c r="RGK207" s="199"/>
      <c r="RGL207" s="199"/>
      <c r="RGM207" s="199"/>
      <c r="RGN207" s="199"/>
      <c r="RGO207" s="199"/>
      <c r="RGP207" s="199"/>
      <c r="RGQ207" s="199"/>
      <c r="RGR207" s="199"/>
      <c r="RGS207" s="199"/>
      <c r="RGT207" s="199"/>
      <c r="RGU207" s="199"/>
      <c r="RGV207" s="199"/>
      <c r="RGW207" s="199"/>
      <c r="RGX207" s="199"/>
      <c r="RGY207" s="199"/>
      <c r="RGZ207" s="199"/>
      <c r="RHA207" s="199"/>
      <c r="RHB207" s="199"/>
      <c r="RHC207" s="199"/>
      <c r="RHD207" s="199"/>
      <c r="RHE207" s="199"/>
      <c r="RHF207" s="199"/>
      <c r="RHG207" s="199"/>
      <c r="RHH207" s="199"/>
      <c r="RHI207" s="199"/>
      <c r="RHJ207" s="199"/>
      <c r="RHK207" s="199"/>
      <c r="RHL207" s="199"/>
      <c r="RHM207" s="199"/>
      <c r="RHN207" s="199"/>
      <c r="RHO207" s="199"/>
      <c r="RHP207" s="199"/>
      <c r="RHQ207" s="199"/>
      <c r="RHR207" s="199"/>
      <c r="RHS207" s="199"/>
      <c r="RHT207" s="199"/>
      <c r="RHU207" s="199"/>
      <c r="RHV207" s="199"/>
      <c r="RHW207" s="199"/>
      <c r="RHX207" s="199"/>
      <c r="RHY207" s="199"/>
      <c r="RHZ207" s="199"/>
      <c r="RIA207" s="199"/>
      <c r="RIB207" s="199"/>
      <c r="RIC207" s="199"/>
      <c r="RID207" s="199"/>
      <c r="RIE207" s="199"/>
      <c r="RIF207" s="199"/>
      <c r="RIG207" s="199"/>
      <c r="RIH207" s="199"/>
      <c r="RII207" s="199"/>
      <c r="RIJ207" s="199"/>
      <c r="RIK207" s="199"/>
      <c r="RIL207" s="199"/>
      <c r="RIM207" s="199"/>
      <c r="RIN207" s="199"/>
      <c r="RIO207" s="199"/>
      <c r="RIP207" s="199"/>
      <c r="RIQ207" s="199"/>
      <c r="RIR207" s="199"/>
      <c r="RIS207" s="199"/>
      <c r="RIT207" s="199"/>
      <c r="RIU207" s="199"/>
      <c r="RIV207" s="199"/>
      <c r="RIW207" s="199"/>
      <c r="RIX207" s="199"/>
      <c r="RIY207" s="199"/>
      <c r="RIZ207" s="199"/>
      <c r="RJA207" s="199"/>
      <c r="RJB207" s="199"/>
      <c r="RJC207" s="199"/>
      <c r="RJD207" s="199"/>
      <c r="RJE207" s="199"/>
      <c r="RJF207" s="199"/>
      <c r="RJG207" s="199"/>
      <c r="RJH207" s="199"/>
      <c r="RJI207" s="199"/>
      <c r="RJJ207" s="199"/>
      <c r="RJK207" s="199"/>
      <c r="RJL207" s="199"/>
      <c r="RJM207" s="199"/>
      <c r="RJN207" s="199"/>
      <c r="RJO207" s="199"/>
      <c r="RJP207" s="199"/>
      <c r="RJQ207" s="199"/>
      <c r="RJR207" s="199"/>
      <c r="RJS207" s="199"/>
      <c r="RJT207" s="199"/>
      <c r="RJU207" s="199"/>
      <c r="RJV207" s="199"/>
      <c r="RJW207" s="199"/>
      <c r="RJX207" s="199"/>
      <c r="RJY207" s="199"/>
      <c r="RJZ207" s="199"/>
      <c r="RKA207" s="199"/>
      <c r="RKB207" s="199"/>
      <c r="RKC207" s="199"/>
      <c r="RKD207" s="199"/>
      <c r="RKE207" s="199"/>
      <c r="RKF207" s="199"/>
      <c r="RKG207" s="199"/>
      <c r="RKH207" s="199"/>
      <c r="RKI207" s="199"/>
      <c r="RKJ207" s="199"/>
      <c r="RKK207" s="199"/>
      <c r="RKL207" s="199"/>
      <c r="RKM207" s="199"/>
      <c r="RKN207" s="199"/>
      <c r="RKO207" s="199"/>
      <c r="RKP207" s="199"/>
      <c r="RKQ207" s="199"/>
      <c r="RKR207" s="199"/>
      <c r="RKS207" s="199"/>
      <c r="RKT207" s="199"/>
      <c r="RKU207" s="199"/>
      <c r="RKV207" s="199"/>
      <c r="RKW207" s="199"/>
      <c r="RKX207" s="199"/>
      <c r="RKY207" s="199"/>
      <c r="RKZ207" s="199"/>
      <c r="RLA207" s="199"/>
      <c r="RLB207" s="199"/>
      <c r="RLC207" s="199"/>
      <c r="RLD207" s="199"/>
      <c r="RLE207" s="199"/>
      <c r="RLF207" s="199"/>
      <c r="RLG207" s="199"/>
      <c r="RLH207" s="199"/>
      <c r="RLI207" s="199"/>
      <c r="RLJ207" s="199"/>
      <c r="RLK207" s="199"/>
      <c r="RLL207" s="199"/>
      <c r="RLM207" s="199"/>
      <c r="RLN207" s="199"/>
      <c r="RLO207" s="199"/>
      <c r="RLP207" s="199"/>
      <c r="RLQ207" s="199"/>
      <c r="RLR207" s="199"/>
      <c r="RLS207" s="199"/>
      <c r="RLT207" s="199"/>
      <c r="RLU207" s="199"/>
      <c r="RLV207" s="199"/>
      <c r="RLW207" s="199"/>
      <c r="RLX207" s="199"/>
      <c r="RLY207" s="199"/>
      <c r="RLZ207" s="199"/>
      <c r="RMA207" s="199"/>
      <c r="RMB207" s="199"/>
      <c r="RMC207" s="199"/>
      <c r="RMD207" s="199"/>
      <c r="RME207" s="199"/>
      <c r="RMF207" s="199"/>
      <c r="RMG207" s="199"/>
      <c r="RMH207" s="199"/>
      <c r="RMI207" s="199"/>
      <c r="RMJ207" s="199"/>
      <c r="RMK207" s="199"/>
      <c r="RML207" s="199"/>
      <c r="RMM207" s="199"/>
      <c r="RMN207" s="199"/>
      <c r="RMO207" s="199"/>
      <c r="RMP207" s="199"/>
      <c r="RMQ207" s="199"/>
      <c r="RMR207" s="199"/>
      <c r="RMS207" s="199"/>
      <c r="RMT207" s="199"/>
      <c r="RMU207" s="199"/>
      <c r="RMV207" s="199"/>
      <c r="RMW207" s="199"/>
      <c r="RMX207" s="199"/>
      <c r="RMY207" s="199"/>
      <c r="RMZ207" s="199"/>
      <c r="RNA207" s="199"/>
      <c r="RNB207" s="199"/>
      <c r="RNC207" s="199"/>
      <c r="RND207" s="199"/>
      <c r="RNE207" s="199"/>
      <c r="RNF207" s="199"/>
      <c r="RNG207" s="199"/>
      <c r="RNH207" s="199"/>
      <c r="RNI207" s="199"/>
      <c r="RNJ207" s="199"/>
      <c r="RNK207" s="199"/>
      <c r="RNL207" s="199"/>
      <c r="RNM207" s="199"/>
      <c r="RNN207" s="199"/>
      <c r="RNO207" s="199"/>
      <c r="RNP207" s="199"/>
      <c r="RNQ207" s="199"/>
      <c r="RNR207" s="199"/>
      <c r="RNS207" s="199"/>
      <c r="RNT207" s="199"/>
      <c r="RNU207" s="199"/>
      <c r="RNV207" s="199"/>
      <c r="RNW207" s="199"/>
      <c r="RNX207" s="199"/>
      <c r="RNY207" s="199"/>
      <c r="RNZ207" s="199"/>
      <c r="ROA207" s="199"/>
      <c r="ROB207" s="199"/>
      <c r="ROC207" s="199"/>
      <c r="ROD207" s="199"/>
      <c r="ROE207" s="199"/>
      <c r="ROF207" s="199"/>
      <c r="ROG207" s="199"/>
      <c r="ROH207" s="199"/>
      <c r="ROI207" s="199"/>
      <c r="ROJ207" s="199"/>
      <c r="ROK207" s="199"/>
      <c r="ROL207" s="199"/>
      <c r="ROM207" s="199"/>
      <c r="RON207" s="199"/>
      <c r="ROO207" s="199"/>
      <c r="ROP207" s="199"/>
      <c r="ROQ207" s="199"/>
      <c r="ROR207" s="199"/>
      <c r="ROS207" s="199"/>
      <c r="ROT207" s="199"/>
      <c r="ROU207" s="199"/>
      <c r="ROV207" s="199"/>
      <c r="ROW207" s="199"/>
      <c r="ROX207" s="199"/>
      <c r="ROY207" s="199"/>
      <c r="ROZ207" s="199"/>
      <c r="RPA207" s="199"/>
      <c r="RPB207" s="199"/>
      <c r="RPC207" s="199"/>
      <c r="RPD207" s="199"/>
      <c r="RPE207" s="199"/>
      <c r="RPF207" s="199"/>
      <c r="RPG207" s="199"/>
      <c r="RPH207" s="199"/>
      <c r="RPI207" s="199"/>
      <c r="RPJ207" s="199"/>
      <c r="RPK207" s="199"/>
      <c r="RPL207" s="199"/>
      <c r="RPM207" s="199"/>
      <c r="RPN207" s="199"/>
      <c r="RPO207" s="199"/>
      <c r="RPP207" s="199"/>
      <c r="RPQ207" s="199"/>
      <c r="RPR207" s="199"/>
      <c r="RPS207" s="199"/>
      <c r="RPT207" s="199"/>
      <c r="RPU207" s="199"/>
      <c r="RPV207" s="199"/>
      <c r="RPW207" s="199"/>
      <c r="RPX207" s="199"/>
      <c r="RPY207" s="199"/>
      <c r="RPZ207" s="199"/>
      <c r="RQA207" s="199"/>
      <c r="RQB207" s="199"/>
      <c r="RQC207" s="199"/>
      <c r="RQD207" s="199"/>
      <c r="RQE207" s="199"/>
      <c r="RQF207" s="199"/>
      <c r="RQG207" s="199"/>
      <c r="RQH207" s="199"/>
      <c r="RQI207" s="199"/>
      <c r="RQJ207" s="199"/>
      <c r="RQK207" s="199"/>
      <c r="RQL207" s="199"/>
      <c r="RQM207" s="199"/>
      <c r="RQN207" s="199"/>
      <c r="RQO207" s="199"/>
      <c r="RQP207" s="199"/>
      <c r="RQQ207" s="199"/>
      <c r="RQR207" s="199"/>
      <c r="RQS207" s="199"/>
      <c r="RQT207" s="199"/>
      <c r="RQU207" s="199"/>
      <c r="RQV207" s="199"/>
      <c r="RQW207" s="199"/>
      <c r="RQX207" s="199"/>
      <c r="RQY207" s="199"/>
      <c r="RQZ207" s="199"/>
      <c r="RRA207" s="199"/>
      <c r="RRB207" s="199"/>
      <c r="RRC207" s="199"/>
      <c r="RRD207" s="199"/>
      <c r="RRE207" s="199"/>
      <c r="RRF207" s="199"/>
      <c r="RRG207" s="199"/>
      <c r="RRH207" s="199"/>
      <c r="RRI207" s="199"/>
      <c r="RRJ207" s="199"/>
      <c r="RRK207" s="199"/>
      <c r="RRL207" s="199"/>
      <c r="RRM207" s="199"/>
      <c r="RRN207" s="199"/>
      <c r="RRO207" s="199"/>
      <c r="RRP207" s="199"/>
      <c r="RRQ207" s="199"/>
      <c r="RRR207" s="199"/>
      <c r="RRS207" s="199"/>
      <c r="RRT207" s="199"/>
      <c r="RRU207" s="199"/>
      <c r="RRV207" s="199"/>
      <c r="RRW207" s="199"/>
      <c r="RRX207" s="199"/>
      <c r="RRY207" s="199"/>
      <c r="RRZ207" s="199"/>
      <c r="RSA207" s="199"/>
      <c r="RSB207" s="199"/>
      <c r="RSC207" s="199"/>
      <c r="RSD207" s="199"/>
      <c r="RSE207" s="199"/>
      <c r="RSF207" s="199"/>
      <c r="RSG207" s="199"/>
      <c r="RSH207" s="199"/>
      <c r="RSI207" s="199"/>
      <c r="RSJ207" s="199"/>
      <c r="RSK207" s="199"/>
      <c r="RSL207" s="199"/>
      <c r="RSM207" s="199"/>
      <c r="RSN207" s="199"/>
      <c r="RSO207" s="199"/>
      <c r="RSP207" s="199"/>
      <c r="RSQ207" s="199"/>
      <c r="RSR207" s="199"/>
      <c r="RSS207" s="199"/>
      <c r="RST207" s="199"/>
      <c r="RSU207" s="199"/>
      <c r="RSV207" s="199"/>
      <c r="RSW207" s="199"/>
      <c r="RSX207" s="199"/>
      <c r="RSY207" s="199"/>
      <c r="RSZ207" s="199"/>
      <c r="RTA207" s="199"/>
      <c r="RTB207" s="199"/>
      <c r="RTC207" s="199"/>
      <c r="RTD207" s="199"/>
      <c r="RTE207" s="199"/>
      <c r="RTF207" s="199"/>
      <c r="RTG207" s="199"/>
      <c r="RTH207" s="199"/>
      <c r="RTI207" s="199"/>
      <c r="RTJ207" s="199"/>
      <c r="RTK207" s="199"/>
      <c r="RTL207" s="199"/>
    </row>
    <row r="208" spans="1:12700" s="197" customFormat="1" ht="81" customHeight="1" x14ac:dyDescent="0.25">
      <c r="A208" s="7"/>
      <c r="B208" s="7"/>
      <c r="C208" s="526" t="s">
        <v>194</v>
      </c>
      <c r="D208" s="526"/>
      <c r="E208" s="526"/>
      <c r="F208" s="526"/>
      <c r="G208" s="526"/>
      <c r="H208" s="526"/>
      <c r="I208" s="526"/>
      <c r="J208" s="526"/>
      <c r="K208" s="526"/>
      <c r="L208" s="526"/>
      <c r="M208" s="526" t="s">
        <v>218</v>
      </c>
      <c r="N208" s="526"/>
      <c r="O208" s="526"/>
      <c r="P208" s="526"/>
      <c r="Q208" s="526"/>
      <c r="R208" s="526"/>
      <c r="S208" s="526"/>
      <c r="T208" s="526"/>
      <c r="U208" s="526"/>
      <c r="V208" s="526"/>
      <c r="W208" s="526"/>
      <c r="X208" s="526"/>
      <c r="Y208" s="526"/>
      <c r="Z208" s="526"/>
      <c r="AA208" s="526"/>
      <c r="AB208" s="526"/>
      <c r="AC208" s="526"/>
      <c r="AD208" s="526"/>
      <c r="AE208" s="526"/>
      <c r="AF208" s="526"/>
      <c r="AG208" s="526"/>
      <c r="AH208" s="526"/>
      <c r="AI208" s="526"/>
      <c r="AJ208" s="526"/>
      <c r="AK208" s="526"/>
      <c r="AL208" s="526"/>
      <c r="AM208" s="526"/>
      <c r="AN208" s="541">
        <f>VLOOKUP("УТ-00042036",'Выгрузка из 1С'!$B$4:$K$1988,10,FALSE)</f>
        <v>86400</v>
      </c>
      <c r="AO208" s="542"/>
      <c r="AP208" s="542"/>
      <c r="AQ208" s="542"/>
      <c r="AR208" s="542"/>
      <c r="AS208" s="542"/>
      <c r="AT208" s="199"/>
      <c r="AU208" s="199"/>
      <c r="AV208" s="199"/>
      <c r="AW208" s="199"/>
      <c r="AX208" s="199"/>
      <c r="AY208" s="199"/>
      <c r="AZ208" s="199"/>
      <c r="BA208" s="199"/>
      <c r="BB208" s="199"/>
      <c r="BC208" s="199"/>
      <c r="BD208" s="199"/>
      <c r="BE208" s="199"/>
      <c r="BF208" s="199"/>
      <c r="BG208" s="199"/>
      <c r="BH208" s="199"/>
      <c r="BI208" s="199"/>
      <c r="BJ208" s="199"/>
      <c r="BK208" s="199"/>
      <c r="BL208" s="199"/>
      <c r="BM208" s="199"/>
      <c r="BN208" s="199"/>
      <c r="BO208" s="199"/>
      <c r="BP208" s="199"/>
      <c r="BQ208" s="199"/>
      <c r="BR208" s="199"/>
      <c r="BS208" s="199"/>
      <c r="BT208" s="199"/>
      <c r="BU208" s="199"/>
      <c r="BV208" s="199"/>
      <c r="BW208" s="199"/>
      <c r="BX208" s="199"/>
      <c r="BY208" s="199"/>
      <c r="BZ208" s="199"/>
      <c r="CA208" s="199"/>
      <c r="CB208" s="199"/>
      <c r="CC208" s="199"/>
      <c r="CD208" s="199"/>
      <c r="CE208" s="199"/>
      <c r="CF208" s="199"/>
      <c r="CG208" s="199"/>
      <c r="CH208" s="199"/>
      <c r="CI208" s="199"/>
      <c r="CJ208" s="199"/>
      <c r="CK208" s="199"/>
      <c r="CL208" s="199"/>
      <c r="CM208" s="199"/>
      <c r="CN208" s="199"/>
      <c r="CO208" s="199"/>
      <c r="CP208" s="199"/>
      <c r="CQ208" s="199"/>
      <c r="CR208" s="199"/>
      <c r="CS208" s="199"/>
      <c r="CT208" s="199"/>
      <c r="CU208" s="199"/>
      <c r="CV208" s="199"/>
      <c r="CW208" s="199"/>
      <c r="CX208" s="199"/>
      <c r="CY208" s="199"/>
      <c r="CZ208" s="199"/>
      <c r="DA208" s="199"/>
      <c r="DB208" s="199"/>
      <c r="DC208" s="199"/>
      <c r="DD208" s="199"/>
      <c r="DE208" s="199"/>
      <c r="DF208" s="199"/>
      <c r="DG208" s="199"/>
      <c r="DH208" s="199"/>
      <c r="DI208" s="199"/>
      <c r="DJ208" s="199"/>
      <c r="DK208" s="199"/>
      <c r="DL208" s="199"/>
      <c r="DM208" s="199"/>
      <c r="DN208" s="199"/>
      <c r="DO208" s="199"/>
      <c r="DP208" s="199"/>
      <c r="DQ208" s="199"/>
      <c r="DR208" s="199"/>
      <c r="DS208" s="199"/>
      <c r="DT208" s="199"/>
      <c r="DU208" s="199"/>
      <c r="DV208" s="199"/>
      <c r="DW208" s="199"/>
      <c r="DX208" s="199"/>
      <c r="DY208" s="199"/>
      <c r="DZ208" s="199"/>
      <c r="EA208" s="199"/>
      <c r="EB208" s="199"/>
      <c r="EC208" s="199"/>
      <c r="ED208" s="199"/>
      <c r="EE208" s="199"/>
      <c r="EF208" s="199"/>
      <c r="EG208" s="199"/>
      <c r="EH208" s="199"/>
      <c r="EI208" s="199"/>
      <c r="EJ208" s="199"/>
      <c r="EK208" s="199"/>
      <c r="EL208" s="199"/>
      <c r="EM208" s="199"/>
      <c r="EN208" s="199"/>
      <c r="EO208" s="199"/>
      <c r="EP208" s="199"/>
      <c r="EQ208" s="199"/>
      <c r="ER208" s="199"/>
      <c r="ES208" s="199"/>
      <c r="ET208" s="199"/>
      <c r="EU208" s="199"/>
      <c r="EV208" s="199"/>
      <c r="EW208" s="199"/>
      <c r="EX208" s="199"/>
      <c r="EY208" s="199"/>
      <c r="EZ208" s="199"/>
      <c r="FA208" s="199"/>
      <c r="FB208" s="199"/>
      <c r="FC208" s="199"/>
      <c r="FD208" s="199"/>
      <c r="FE208" s="199"/>
      <c r="FF208" s="199"/>
      <c r="FG208" s="199"/>
      <c r="FH208" s="199"/>
      <c r="FI208" s="199"/>
      <c r="FJ208" s="199"/>
      <c r="FK208" s="199"/>
      <c r="FL208" s="199"/>
      <c r="FM208" s="199"/>
      <c r="FN208" s="199"/>
      <c r="FO208" s="199"/>
      <c r="FP208" s="199"/>
      <c r="FQ208" s="199"/>
      <c r="FR208" s="199"/>
      <c r="FS208" s="199"/>
      <c r="FT208" s="199"/>
      <c r="FU208" s="199"/>
      <c r="FV208" s="199"/>
      <c r="FW208" s="199"/>
      <c r="FX208" s="199"/>
      <c r="FY208" s="199"/>
      <c r="FZ208" s="199"/>
      <c r="GA208" s="199"/>
      <c r="GB208" s="199"/>
      <c r="GC208" s="199"/>
      <c r="GD208" s="199"/>
      <c r="GE208" s="199"/>
      <c r="GF208" s="199"/>
      <c r="GG208" s="199"/>
      <c r="GH208" s="199"/>
      <c r="GI208" s="199"/>
      <c r="GJ208" s="199"/>
      <c r="GK208" s="199"/>
      <c r="GL208" s="199"/>
      <c r="GM208" s="199"/>
      <c r="GN208" s="199"/>
      <c r="GO208" s="199"/>
      <c r="GP208" s="199"/>
      <c r="GQ208" s="199"/>
      <c r="GR208" s="199"/>
      <c r="GS208" s="199"/>
      <c r="GT208" s="199"/>
      <c r="GU208" s="199"/>
      <c r="GV208" s="199"/>
      <c r="GW208" s="199"/>
      <c r="GX208" s="199"/>
      <c r="GY208" s="199"/>
      <c r="GZ208" s="199"/>
      <c r="HA208" s="199"/>
      <c r="HB208" s="199"/>
      <c r="HC208" s="199"/>
      <c r="HD208" s="199"/>
      <c r="HE208" s="199"/>
      <c r="HF208" s="199"/>
      <c r="HG208" s="199"/>
      <c r="HH208" s="199"/>
      <c r="HI208" s="199"/>
      <c r="HJ208" s="199"/>
      <c r="HK208" s="199"/>
      <c r="HL208" s="199"/>
      <c r="HM208" s="199"/>
      <c r="HN208" s="199"/>
      <c r="HO208" s="199"/>
      <c r="HP208" s="199"/>
      <c r="HQ208" s="199"/>
      <c r="HR208" s="199"/>
      <c r="HS208" s="199"/>
      <c r="HT208" s="199"/>
      <c r="HU208" s="199"/>
      <c r="HV208" s="199"/>
      <c r="HW208" s="199"/>
      <c r="HX208" s="199"/>
      <c r="HY208" s="199"/>
      <c r="HZ208" s="199"/>
      <c r="IA208" s="199"/>
      <c r="IB208" s="199"/>
      <c r="IC208" s="199"/>
      <c r="ID208" s="199"/>
      <c r="IE208" s="199"/>
      <c r="IF208" s="199"/>
      <c r="IG208" s="199"/>
      <c r="IH208" s="199"/>
      <c r="II208" s="199"/>
      <c r="IJ208" s="199"/>
      <c r="IK208" s="199"/>
      <c r="IL208" s="199"/>
      <c r="IM208" s="199"/>
      <c r="IN208" s="199"/>
      <c r="IO208" s="199"/>
      <c r="IP208" s="199"/>
      <c r="IQ208" s="199"/>
      <c r="IR208" s="199"/>
      <c r="IS208" s="199"/>
      <c r="IT208" s="199"/>
      <c r="IU208" s="199"/>
      <c r="IV208" s="199"/>
      <c r="IW208" s="199"/>
      <c r="IX208" s="199"/>
      <c r="IY208" s="199"/>
      <c r="IZ208" s="199"/>
      <c r="JA208" s="199"/>
      <c r="JB208" s="199"/>
      <c r="JC208" s="199"/>
      <c r="JD208" s="199"/>
      <c r="JE208" s="199"/>
      <c r="JF208" s="199"/>
      <c r="JG208" s="199"/>
      <c r="JH208" s="199"/>
      <c r="JI208" s="199"/>
      <c r="JJ208" s="199"/>
      <c r="JK208" s="199"/>
      <c r="JL208" s="199"/>
      <c r="JM208" s="199"/>
      <c r="JN208" s="199"/>
      <c r="JO208" s="199"/>
      <c r="JP208" s="199"/>
      <c r="JQ208" s="199"/>
      <c r="JR208" s="199"/>
      <c r="JS208" s="199"/>
      <c r="JT208" s="199"/>
      <c r="JU208" s="199"/>
      <c r="JV208" s="199"/>
      <c r="JW208" s="199"/>
      <c r="JX208" s="199"/>
      <c r="JY208" s="199"/>
      <c r="JZ208" s="199"/>
      <c r="KA208" s="199"/>
      <c r="KB208" s="199"/>
      <c r="KC208" s="199"/>
      <c r="KD208" s="199"/>
      <c r="KE208" s="199"/>
      <c r="KF208" s="199"/>
      <c r="KG208" s="199"/>
      <c r="KH208" s="199"/>
      <c r="KI208" s="199"/>
      <c r="KJ208" s="199"/>
      <c r="KK208" s="199"/>
      <c r="KL208" s="199"/>
      <c r="KM208" s="199"/>
      <c r="KN208" s="199"/>
      <c r="KO208" s="199"/>
      <c r="KP208" s="199"/>
      <c r="KQ208" s="199"/>
      <c r="KR208" s="199"/>
      <c r="KS208" s="199"/>
      <c r="KT208" s="199"/>
      <c r="KU208" s="199"/>
      <c r="KV208" s="199"/>
      <c r="KW208" s="199"/>
      <c r="KX208" s="199"/>
      <c r="KY208" s="199"/>
      <c r="KZ208" s="199"/>
      <c r="LA208" s="199"/>
      <c r="LB208" s="199"/>
      <c r="LC208" s="199"/>
      <c r="LD208" s="199"/>
      <c r="LE208" s="199"/>
      <c r="LF208" s="199"/>
      <c r="LG208" s="199"/>
      <c r="LH208" s="199"/>
      <c r="LI208" s="199"/>
      <c r="LJ208" s="199"/>
      <c r="LK208" s="199"/>
      <c r="LL208" s="199"/>
      <c r="LM208" s="199"/>
      <c r="LN208" s="199"/>
      <c r="LO208" s="199"/>
      <c r="LP208" s="199"/>
      <c r="LQ208" s="199"/>
      <c r="LR208" s="199"/>
      <c r="LS208" s="199"/>
      <c r="LT208" s="199"/>
      <c r="LU208" s="199"/>
      <c r="LV208" s="199"/>
      <c r="LW208" s="199"/>
      <c r="LX208" s="199"/>
      <c r="LY208" s="199"/>
      <c r="LZ208" s="199"/>
      <c r="MA208" s="199"/>
      <c r="MB208" s="199"/>
      <c r="MC208" s="199"/>
      <c r="MD208" s="199"/>
      <c r="ME208" s="199"/>
      <c r="MF208" s="199"/>
      <c r="MG208" s="199"/>
      <c r="MH208" s="199"/>
      <c r="MI208" s="199"/>
      <c r="MJ208" s="199"/>
      <c r="MK208" s="199"/>
      <c r="ML208" s="199"/>
      <c r="MM208" s="199"/>
      <c r="MN208" s="199"/>
      <c r="MO208" s="199"/>
      <c r="MP208" s="199"/>
      <c r="MQ208" s="199"/>
      <c r="MR208" s="199"/>
      <c r="MS208" s="199"/>
      <c r="MT208" s="199"/>
      <c r="MU208" s="199"/>
      <c r="MV208" s="199"/>
      <c r="MW208" s="199"/>
      <c r="MX208" s="199"/>
      <c r="MY208" s="199"/>
      <c r="MZ208" s="199"/>
      <c r="NA208" s="199"/>
      <c r="NB208" s="199"/>
      <c r="NC208" s="199"/>
      <c r="ND208" s="199"/>
      <c r="NE208" s="199"/>
      <c r="NF208" s="199"/>
      <c r="NG208" s="199"/>
      <c r="NH208" s="199"/>
      <c r="NI208" s="199"/>
      <c r="NJ208" s="199"/>
      <c r="NK208" s="199"/>
      <c r="NL208" s="199"/>
      <c r="NM208" s="199"/>
      <c r="NN208" s="199"/>
      <c r="NO208" s="199"/>
      <c r="NP208" s="199"/>
      <c r="NQ208" s="199"/>
      <c r="NR208" s="199"/>
      <c r="NS208" s="199"/>
      <c r="NT208" s="199"/>
      <c r="NU208" s="199"/>
      <c r="NV208" s="199"/>
      <c r="NW208" s="199"/>
      <c r="NX208" s="199"/>
      <c r="NY208" s="199"/>
      <c r="NZ208" s="199"/>
      <c r="OA208" s="199"/>
      <c r="OB208" s="199"/>
      <c r="OC208" s="199"/>
      <c r="OD208" s="199"/>
      <c r="OE208" s="199"/>
      <c r="OF208" s="199"/>
      <c r="OG208" s="199"/>
      <c r="OH208" s="199"/>
      <c r="OI208" s="199"/>
      <c r="OJ208" s="199"/>
      <c r="OK208" s="199"/>
      <c r="OL208" s="199"/>
      <c r="OM208" s="199"/>
      <c r="ON208" s="199"/>
      <c r="OO208" s="199"/>
      <c r="OP208" s="199"/>
      <c r="OQ208" s="199"/>
      <c r="OR208" s="199"/>
      <c r="OS208" s="199"/>
      <c r="OT208" s="199"/>
      <c r="OU208" s="199"/>
      <c r="OV208" s="199"/>
      <c r="OW208" s="199"/>
      <c r="OX208" s="199"/>
      <c r="OY208" s="199"/>
      <c r="OZ208" s="199"/>
      <c r="PA208" s="199"/>
      <c r="PB208" s="199"/>
      <c r="PC208" s="199"/>
      <c r="PD208" s="199"/>
      <c r="PE208" s="199"/>
      <c r="PF208" s="199"/>
      <c r="PG208" s="199"/>
      <c r="PH208" s="199"/>
      <c r="PI208" s="199"/>
      <c r="PJ208" s="199"/>
      <c r="PK208" s="199"/>
      <c r="PL208" s="199"/>
      <c r="PM208" s="199"/>
      <c r="PN208" s="199"/>
      <c r="PO208" s="199"/>
      <c r="PP208" s="199"/>
      <c r="PQ208" s="199"/>
      <c r="PR208" s="199"/>
      <c r="PS208" s="199"/>
      <c r="PT208" s="199"/>
      <c r="PU208" s="199"/>
      <c r="PV208" s="199"/>
      <c r="PW208" s="199"/>
      <c r="PX208" s="199"/>
      <c r="PY208" s="199"/>
      <c r="PZ208" s="199"/>
      <c r="QA208" s="199"/>
      <c r="QB208" s="199"/>
      <c r="QC208" s="199"/>
      <c r="QD208" s="199"/>
      <c r="QE208" s="199"/>
      <c r="QF208" s="199"/>
      <c r="QG208" s="199"/>
      <c r="QH208" s="199"/>
      <c r="QI208" s="199"/>
      <c r="QJ208" s="199"/>
      <c r="QK208" s="199"/>
      <c r="QL208" s="199"/>
      <c r="QM208" s="199"/>
      <c r="QN208" s="199"/>
      <c r="QO208" s="199"/>
      <c r="QP208" s="199"/>
      <c r="QQ208" s="199"/>
      <c r="QR208" s="199"/>
      <c r="QS208" s="199"/>
      <c r="QT208" s="199"/>
      <c r="QU208" s="199"/>
      <c r="QV208" s="199"/>
      <c r="QW208" s="199"/>
      <c r="QX208" s="199"/>
      <c r="QY208" s="199"/>
      <c r="QZ208" s="199"/>
      <c r="RA208" s="199"/>
      <c r="RB208" s="199"/>
      <c r="RC208" s="199"/>
      <c r="RD208" s="199"/>
      <c r="RE208" s="199"/>
      <c r="RF208" s="199"/>
      <c r="RG208" s="199"/>
      <c r="RH208" s="199"/>
      <c r="RI208" s="199"/>
      <c r="RJ208" s="199"/>
      <c r="RK208" s="199"/>
      <c r="RL208" s="199"/>
      <c r="RM208" s="199"/>
      <c r="RN208" s="199"/>
      <c r="RO208" s="199"/>
      <c r="RP208" s="199"/>
      <c r="RQ208" s="199"/>
      <c r="RR208" s="199"/>
      <c r="RS208" s="199"/>
      <c r="RT208" s="199"/>
      <c r="RU208" s="199"/>
      <c r="RV208" s="199"/>
      <c r="RW208" s="199"/>
      <c r="RX208" s="199"/>
      <c r="RY208" s="199"/>
      <c r="RZ208" s="199"/>
      <c r="SA208" s="199"/>
      <c r="SB208" s="199"/>
      <c r="SC208" s="199"/>
      <c r="SD208" s="199"/>
      <c r="SE208" s="199"/>
      <c r="SF208" s="199"/>
      <c r="SG208" s="199"/>
      <c r="SH208" s="199"/>
      <c r="SI208" s="199"/>
      <c r="SJ208" s="199"/>
      <c r="SK208" s="199"/>
      <c r="SL208" s="199"/>
      <c r="SM208" s="199"/>
      <c r="SN208" s="199"/>
      <c r="SO208" s="199"/>
      <c r="SP208" s="199"/>
      <c r="SQ208" s="199"/>
      <c r="SR208" s="199"/>
      <c r="SS208" s="199"/>
      <c r="ST208" s="199"/>
      <c r="SU208" s="199"/>
      <c r="SV208" s="199"/>
      <c r="SW208" s="199"/>
      <c r="SX208" s="199"/>
      <c r="SY208" s="199"/>
      <c r="SZ208" s="199"/>
      <c r="TA208" s="199"/>
      <c r="TB208" s="199"/>
      <c r="TC208" s="199"/>
      <c r="TD208" s="199"/>
      <c r="TE208" s="199"/>
      <c r="TF208" s="199"/>
      <c r="TG208" s="199"/>
      <c r="TH208" s="199"/>
      <c r="TI208" s="199"/>
      <c r="TJ208" s="199"/>
      <c r="TK208" s="199"/>
      <c r="TL208" s="199"/>
      <c r="TM208" s="199"/>
      <c r="TN208" s="199"/>
      <c r="TO208" s="199"/>
      <c r="TP208" s="199"/>
      <c r="TQ208" s="199"/>
      <c r="TR208" s="199"/>
      <c r="TS208" s="199"/>
      <c r="TT208" s="199"/>
      <c r="TU208" s="199"/>
      <c r="TV208" s="199"/>
      <c r="TW208" s="199"/>
      <c r="TX208" s="199"/>
      <c r="TY208" s="199"/>
      <c r="TZ208" s="199"/>
      <c r="UA208" s="199"/>
      <c r="UB208" s="199"/>
      <c r="UC208" s="199"/>
      <c r="UD208" s="199"/>
      <c r="UE208" s="199"/>
      <c r="UF208" s="199"/>
      <c r="UG208" s="199"/>
      <c r="UH208" s="199"/>
      <c r="UI208" s="199"/>
      <c r="UJ208" s="199"/>
      <c r="UK208" s="199"/>
      <c r="UL208" s="199"/>
      <c r="UM208" s="199"/>
      <c r="UN208" s="199"/>
      <c r="UO208" s="199"/>
      <c r="UP208" s="199"/>
      <c r="UQ208" s="199"/>
      <c r="UR208" s="199"/>
      <c r="US208" s="199"/>
      <c r="UT208" s="199"/>
      <c r="UU208" s="199"/>
      <c r="UV208" s="199"/>
      <c r="UW208" s="199"/>
      <c r="UX208" s="199"/>
      <c r="UY208" s="199"/>
      <c r="UZ208" s="199"/>
      <c r="VA208" s="199"/>
      <c r="VB208" s="199"/>
      <c r="VC208" s="199"/>
      <c r="VD208" s="199"/>
      <c r="VE208" s="199"/>
      <c r="VF208" s="199"/>
      <c r="VG208" s="199"/>
      <c r="VH208" s="199"/>
      <c r="VI208" s="199"/>
      <c r="VJ208" s="199"/>
      <c r="VK208" s="199"/>
      <c r="VL208" s="199"/>
      <c r="VM208" s="199"/>
      <c r="VN208" s="199"/>
      <c r="VO208" s="199"/>
      <c r="VP208" s="199"/>
      <c r="VQ208" s="199"/>
      <c r="VR208" s="199"/>
      <c r="VS208" s="199"/>
      <c r="VT208" s="199"/>
      <c r="VU208" s="199"/>
      <c r="VV208" s="199"/>
      <c r="VW208" s="199"/>
      <c r="VX208" s="199"/>
      <c r="VY208" s="199"/>
      <c r="VZ208" s="199"/>
      <c r="WA208" s="199"/>
      <c r="WB208" s="199"/>
      <c r="WC208" s="199"/>
      <c r="WD208" s="199"/>
      <c r="WE208" s="199"/>
      <c r="WF208" s="199"/>
      <c r="WG208" s="199"/>
      <c r="WH208" s="199"/>
      <c r="WI208" s="199"/>
      <c r="WJ208" s="199"/>
      <c r="WK208" s="199"/>
      <c r="WL208" s="199"/>
      <c r="WM208" s="199"/>
      <c r="WN208" s="199"/>
      <c r="WO208" s="199"/>
      <c r="WP208" s="199"/>
      <c r="WQ208" s="199"/>
      <c r="WR208" s="199"/>
      <c r="WS208" s="199"/>
      <c r="WT208" s="199"/>
      <c r="WU208" s="199"/>
      <c r="WV208" s="199"/>
      <c r="WW208" s="199"/>
      <c r="WX208" s="199"/>
      <c r="WY208" s="199"/>
      <c r="WZ208" s="199"/>
      <c r="XA208" s="199"/>
      <c r="XB208" s="199"/>
      <c r="XC208" s="199"/>
      <c r="XD208" s="199"/>
      <c r="XE208" s="199"/>
      <c r="XF208" s="199"/>
      <c r="XG208" s="199"/>
      <c r="XH208" s="199"/>
      <c r="XI208" s="199"/>
      <c r="XJ208" s="199"/>
      <c r="XK208" s="199"/>
      <c r="XL208" s="199"/>
      <c r="XM208" s="199"/>
      <c r="XN208" s="199"/>
      <c r="XO208" s="199"/>
      <c r="XP208" s="199"/>
      <c r="XQ208" s="199"/>
      <c r="XR208" s="199"/>
      <c r="XS208" s="199"/>
      <c r="XT208" s="199"/>
      <c r="XU208" s="199"/>
      <c r="XV208" s="199"/>
      <c r="XW208" s="199"/>
      <c r="XX208" s="199"/>
      <c r="XY208" s="199"/>
      <c r="XZ208" s="199"/>
      <c r="YA208" s="199"/>
      <c r="YB208" s="199"/>
      <c r="YC208" s="199"/>
      <c r="YD208" s="199"/>
      <c r="YE208" s="199"/>
      <c r="YF208" s="199"/>
      <c r="YG208" s="199"/>
      <c r="YH208" s="199"/>
      <c r="YI208" s="199"/>
      <c r="YJ208" s="199"/>
      <c r="YK208" s="199"/>
      <c r="YL208" s="199"/>
      <c r="YM208" s="199"/>
      <c r="YN208" s="199"/>
      <c r="YO208" s="199"/>
      <c r="YP208" s="199"/>
      <c r="YQ208" s="199"/>
      <c r="YR208" s="199"/>
      <c r="YS208" s="199"/>
      <c r="YT208" s="199"/>
      <c r="YU208" s="199"/>
      <c r="YV208" s="199"/>
      <c r="YW208" s="199"/>
      <c r="YX208" s="199"/>
      <c r="YY208" s="199"/>
      <c r="YZ208" s="199"/>
      <c r="ZA208" s="199"/>
      <c r="ZB208" s="199"/>
      <c r="ZC208" s="199"/>
      <c r="ZD208" s="199"/>
      <c r="ZE208" s="199"/>
      <c r="ZF208" s="199"/>
      <c r="ZG208" s="199"/>
      <c r="ZH208" s="199"/>
      <c r="ZI208" s="199"/>
      <c r="ZJ208" s="199"/>
      <c r="ZK208" s="199"/>
      <c r="ZL208" s="199"/>
      <c r="ZM208" s="199"/>
      <c r="ZN208" s="199"/>
      <c r="ZO208" s="199"/>
      <c r="ZP208" s="199"/>
      <c r="ZQ208" s="199"/>
      <c r="ZR208" s="199"/>
      <c r="ZS208" s="199"/>
      <c r="ZT208" s="199"/>
      <c r="ZU208" s="199"/>
      <c r="ZV208" s="199"/>
      <c r="ZW208" s="199"/>
      <c r="ZX208" s="199"/>
      <c r="ZY208" s="199"/>
      <c r="ZZ208" s="199"/>
      <c r="AAA208" s="199"/>
      <c r="AAB208" s="199"/>
      <c r="AAC208" s="199"/>
      <c r="AAD208" s="199"/>
      <c r="AAE208" s="199"/>
      <c r="AAF208" s="199"/>
      <c r="AAG208" s="199"/>
      <c r="AAH208" s="199"/>
      <c r="AAI208" s="199"/>
      <c r="AAJ208" s="199"/>
      <c r="AAK208" s="199"/>
      <c r="AAL208" s="199"/>
      <c r="AAM208" s="199"/>
      <c r="AAN208" s="199"/>
      <c r="AAO208" s="199"/>
      <c r="AAP208" s="199"/>
      <c r="AAQ208" s="199"/>
      <c r="AAR208" s="199"/>
      <c r="AAS208" s="199"/>
      <c r="AAT208" s="199"/>
      <c r="AAU208" s="199"/>
      <c r="AAV208" s="199"/>
      <c r="AAW208" s="199"/>
      <c r="AAX208" s="199"/>
      <c r="AAY208" s="199"/>
      <c r="AAZ208" s="199"/>
      <c r="ABA208" s="199"/>
      <c r="ABB208" s="199"/>
      <c r="ABC208" s="199"/>
      <c r="ABD208" s="199"/>
      <c r="ABE208" s="199"/>
      <c r="ABF208" s="199"/>
      <c r="ABG208" s="199"/>
      <c r="ABH208" s="199"/>
      <c r="ABI208" s="199"/>
      <c r="ABJ208" s="199"/>
      <c r="ABK208" s="199"/>
      <c r="ABL208" s="199"/>
      <c r="ABM208" s="199"/>
      <c r="ABN208" s="199"/>
      <c r="ABO208" s="199"/>
      <c r="ABP208" s="199"/>
      <c r="ABQ208" s="199"/>
      <c r="ABR208" s="199"/>
      <c r="ABS208" s="199"/>
      <c r="ABT208" s="199"/>
      <c r="ABU208" s="199"/>
      <c r="ABV208" s="199"/>
      <c r="ABW208" s="199"/>
      <c r="ABX208" s="199"/>
      <c r="ABY208" s="199"/>
      <c r="ABZ208" s="199"/>
      <c r="ACA208" s="199"/>
      <c r="ACB208" s="199"/>
      <c r="ACC208" s="199"/>
      <c r="ACD208" s="199"/>
      <c r="ACE208" s="199"/>
      <c r="ACF208" s="199"/>
      <c r="ACG208" s="199"/>
      <c r="ACH208" s="199"/>
      <c r="ACI208" s="199"/>
      <c r="ACJ208" s="199"/>
      <c r="ACK208" s="199"/>
      <c r="ACL208" s="199"/>
      <c r="ACM208" s="199"/>
      <c r="ACN208" s="199"/>
      <c r="ACO208" s="199"/>
      <c r="ACP208" s="199"/>
      <c r="ACQ208" s="199"/>
      <c r="ACR208" s="199"/>
      <c r="ACS208" s="199"/>
      <c r="ACT208" s="199"/>
      <c r="ACU208" s="199"/>
      <c r="ACV208" s="199"/>
      <c r="ACW208" s="199"/>
      <c r="ACX208" s="199"/>
      <c r="ACY208" s="199"/>
      <c r="ACZ208" s="199"/>
      <c r="ADA208" s="199"/>
      <c r="ADB208" s="199"/>
      <c r="ADC208" s="199"/>
      <c r="ADD208" s="199"/>
      <c r="ADE208" s="199"/>
      <c r="ADF208" s="199"/>
      <c r="ADG208" s="199"/>
      <c r="ADH208" s="199"/>
      <c r="ADI208" s="199"/>
      <c r="ADJ208" s="199"/>
      <c r="ADK208" s="199"/>
      <c r="ADL208" s="199"/>
      <c r="ADM208" s="199"/>
      <c r="ADN208" s="199"/>
      <c r="ADO208" s="199"/>
      <c r="ADP208" s="199"/>
      <c r="ADQ208" s="199"/>
      <c r="ADR208" s="199"/>
      <c r="ADS208" s="199"/>
      <c r="ADT208" s="199"/>
      <c r="ADU208" s="199"/>
      <c r="ADV208" s="199"/>
      <c r="ADW208" s="199"/>
      <c r="ADX208" s="199"/>
      <c r="ADY208" s="199"/>
      <c r="ADZ208" s="199"/>
      <c r="AEA208" s="199"/>
      <c r="AEB208" s="199"/>
      <c r="AEC208" s="199"/>
      <c r="AED208" s="199"/>
      <c r="AEE208" s="199"/>
      <c r="AEF208" s="199"/>
      <c r="AEG208" s="199"/>
      <c r="AEH208" s="199"/>
      <c r="AEI208" s="199"/>
      <c r="AEJ208" s="199"/>
      <c r="AEK208" s="199"/>
      <c r="AEL208" s="199"/>
      <c r="AEM208" s="199"/>
      <c r="AEN208" s="199"/>
      <c r="AEO208" s="199"/>
      <c r="AEP208" s="199"/>
      <c r="AEQ208" s="199"/>
      <c r="AER208" s="199"/>
      <c r="AES208" s="199"/>
      <c r="AET208" s="199"/>
      <c r="AEU208" s="199"/>
      <c r="AEV208" s="199"/>
      <c r="AEW208" s="199"/>
      <c r="AEX208" s="199"/>
      <c r="AEY208" s="199"/>
      <c r="AEZ208" s="199"/>
      <c r="AFA208" s="199"/>
      <c r="AFB208" s="199"/>
      <c r="AFC208" s="199"/>
      <c r="AFD208" s="199"/>
      <c r="AFE208" s="199"/>
      <c r="AFF208" s="199"/>
      <c r="AFG208" s="199"/>
      <c r="AFH208" s="199"/>
      <c r="AFI208" s="199"/>
      <c r="AFJ208" s="199"/>
      <c r="AFK208" s="199"/>
      <c r="AFL208" s="199"/>
      <c r="AFM208" s="199"/>
      <c r="AFN208" s="199"/>
      <c r="AFO208" s="199"/>
      <c r="AFP208" s="199"/>
      <c r="AFQ208" s="199"/>
      <c r="AFR208" s="199"/>
      <c r="AFS208" s="199"/>
      <c r="AFT208" s="199"/>
      <c r="AFU208" s="199"/>
      <c r="AFV208" s="199"/>
      <c r="AFW208" s="199"/>
      <c r="AFX208" s="199"/>
      <c r="AFY208" s="199"/>
      <c r="AFZ208" s="199"/>
      <c r="AGA208" s="199"/>
      <c r="AGB208" s="199"/>
      <c r="AGC208" s="199"/>
      <c r="AGD208" s="199"/>
      <c r="AGE208" s="199"/>
      <c r="AGF208" s="199"/>
      <c r="AGG208" s="199"/>
      <c r="AGH208" s="199"/>
      <c r="AGI208" s="199"/>
      <c r="AGJ208" s="199"/>
      <c r="AGK208" s="199"/>
      <c r="AGL208" s="199"/>
      <c r="AGM208" s="199"/>
      <c r="AGN208" s="199"/>
      <c r="AGO208" s="199"/>
      <c r="AGP208" s="199"/>
      <c r="AGQ208" s="199"/>
      <c r="AGR208" s="199"/>
      <c r="AGS208" s="199"/>
      <c r="AGT208" s="199"/>
      <c r="AGU208" s="199"/>
      <c r="AGV208" s="199"/>
      <c r="AGW208" s="199"/>
      <c r="AGX208" s="199"/>
      <c r="AGY208" s="199"/>
      <c r="AGZ208" s="199"/>
      <c r="AHA208" s="199"/>
      <c r="AHB208" s="199"/>
      <c r="AHC208" s="199"/>
      <c r="AHD208" s="199"/>
      <c r="AHE208" s="199"/>
      <c r="AHF208" s="199"/>
      <c r="AHG208" s="199"/>
      <c r="AHH208" s="199"/>
      <c r="AHI208" s="199"/>
      <c r="AHJ208" s="199"/>
      <c r="AHK208" s="199"/>
      <c r="AHL208" s="199"/>
      <c r="AHM208" s="199"/>
      <c r="AHN208" s="199"/>
      <c r="AHO208" s="199"/>
      <c r="AHP208" s="199"/>
      <c r="AHQ208" s="199"/>
      <c r="AHR208" s="199"/>
      <c r="AHS208" s="199"/>
      <c r="AHT208" s="199"/>
      <c r="AHU208" s="199"/>
      <c r="AHV208" s="199"/>
      <c r="AHW208" s="199"/>
      <c r="AHX208" s="199"/>
      <c r="AHY208" s="199"/>
      <c r="AHZ208" s="199"/>
      <c r="AIA208" s="199"/>
      <c r="AIB208" s="199"/>
      <c r="AIC208" s="199"/>
      <c r="AID208" s="199"/>
      <c r="AIE208" s="199"/>
      <c r="AIF208" s="199"/>
      <c r="AIG208" s="199"/>
      <c r="AIH208" s="199"/>
      <c r="AII208" s="199"/>
      <c r="AIJ208" s="199"/>
      <c r="AIK208" s="199"/>
      <c r="AIL208" s="199"/>
      <c r="AIM208" s="199"/>
      <c r="AIN208" s="199"/>
      <c r="AIO208" s="199"/>
      <c r="AIP208" s="199"/>
      <c r="AIQ208" s="199"/>
      <c r="AIR208" s="199"/>
      <c r="AIS208" s="199"/>
      <c r="AIT208" s="199"/>
      <c r="AIU208" s="199"/>
      <c r="AIV208" s="199"/>
      <c r="AIW208" s="199"/>
      <c r="AIX208" s="199"/>
      <c r="AIY208" s="199"/>
      <c r="AIZ208" s="199"/>
      <c r="AJA208" s="199"/>
      <c r="AJB208" s="199"/>
      <c r="AJC208" s="199"/>
      <c r="AJD208" s="199"/>
      <c r="AJE208" s="199"/>
      <c r="AJF208" s="199"/>
      <c r="AJG208" s="199"/>
      <c r="AJH208" s="199"/>
      <c r="AJI208" s="199"/>
      <c r="AJJ208" s="199"/>
      <c r="AJK208" s="199"/>
      <c r="AJL208" s="199"/>
      <c r="AJM208" s="199"/>
      <c r="AJN208" s="199"/>
      <c r="AJO208" s="199"/>
      <c r="AJP208" s="199"/>
      <c r="AJQ208" s="199"/>
      <c r="AJR208" s="199"/>
      <c r="AJS208" s="199"/>
      <c r="AJT208" s="199"/>
      <c r="AJU208" s="199"/>
      <c r="AJV208" s="199"/>
      <c r="AJW208" s="199"/>
      <c r="AJX208" s="199"/>
      <c r="AJY208" s="199"/>
      <c r="AJZ208" s="199"/>
      <c r="AKA208" s="199"/>
      <c r="AKB208" s="199"/>
      <c r="AKC208" s="199"/>
      <c r="AKD208" s="199"/>
      <c r="AKE208" s="199"/>
      <c r="AKF208" s="199"/>
      <c r="AKG208" s="199"/>
      <c r="AKH208" s="199"/>
      <c r="AKI208" s="199"/>
      <c r="AKJ208" s="199"/>
      <c r="AKK208" s="199"/>
      <c r="AKL208" s="199"/>
      <c r="AKM208" s="199"/>
      <c r="AKN208" s="199"/>
      <c r="AKO208" s="199"/>
      <c r="AKP208" s="199"/>
      <c r="AKQ208" s="199"/>
      <c r="AKR208" s="199"/>
      <c r="AKS208" s="199"/>
      <c r="AKT208" s="199"/>
      <c r="AKU208" s="199"/>
      <c r="AKV208" s="199"/>
      <c r="AKW208" s="199"/>
      <c r="AKX208" s="199"/>
      <c r="AKY208" s="199"/>
      <c r="AKZ208" s="199"/>
      <c r="ALA208" s="199"/>
      <c r="ALB208" s="199"/>
      <c r="ALC208" s="199"/>
      <c r="ALD208" s="199"/>
      <c r="ALE208" s="199"/>
      <c r="ALF208" s="199"/>
      <c r="ALG208" s="199"/>
      <c r="ALH208" s="199"/>
      <c r="ALI208" s="199"/>
      <c r="ALJ208" s="199"/>
      <c r="ALK208" s="199"/>
      <c r="ALL208" s="199"/>
      <c r="ALM208" s="199"/>
      <c r="ALN208" s="199"/>
      <c r="ALO208" s="199"/>
      <c r="ALP208" s="199"/>
      <c r="ALQ208" s="199"/>
      <c r="ALR208" s="199"/>
      <c r="ALS208" s="199"/>
      <c r="ALT208" s="199"/>
      <c r="ALU208" s="199"/>
      <c r="ALV208" s="199"/>
      <c r="ALW208" s="199"/>
      <c r="ALX208" s="199"/>
      <c r="ALY208" s="199"/>
      <c r="ALZ208" s="199"/>
      <c r="AMA208" s="199"/>
      <c r="AMB208" s="199"/>
      <c r="AMC208" s="199"/>
      <c r="AMD208" s="199"/>
      <c r="AME208" s="199"/>
      <c r="AMF208" s="199"/>
      <c r="AMG208" s="199"/>
      <c r="AMH208" s="199"/>
      <c r="AMI208" s="199"/>
      <c r="AMJ208" s="199"/>
      <c r="AMK208" s="199"/>
      <c r="AML208" s="199"/>
      <c r="AMM208" s="199"/>
      <c r="AMN208" s="199"/>
      <c r="AMO208" s="199"/>
      <c r="AMP208" s="199"/>
      <c r="AMQ208" s="199"/>
      <c r="AMR208" s="199"/>
      <c r="AMS208" s="199"/>
      <c r="AMT208" s="199"/>
      <c r="AMU208" s="199"/>
      <c r="AMV208" s="199"/>
      <c r="AMW208" s="199"/>
      <c r="AMX208" s="199"/>
      <c r="AMY208" s="199"/>
      <c r="AMZ208" s="199"/>
      <c r="ANA208" s="199"/>
      <c r="ANB208" s="199"/>
      <c r="ANC208" s="199"/>
      <c r="AND208" s="199"/>
      <c r="ANE208" s="199"/>
      <c r="ANF208" s="199"/>
      <c r="ANG208" s="199"/>
      <c r="ANH208" s="199"/>
      <c r="ANI208" s="199"/>
      <c r="ANJ208" s="199"/>
      <c r="ANK208" s="199"/>
      <c r="ANL208" s="199"/>
      <c r="ANM208" s="199"/>
      <c r="ANN208" s="199"/>
      <c r="ANO208" s="199"/>
      <c r="ANP208" s="199"/>
      <c r="ANQ208" s="199"/>
      <c r="ANR208" s="199"/>
      <c r="ANS208" s="199"/>
      <c r="ANT208" s="199"/>
      <c r="ANU208" s="199"/>
      <c r="ANV208" s="199"/>
      <c r="ANW208" s="199"/>
      <c r="ANX208" s="199"/>
      <c r="ANY208" s="199"/>
      <c r="ANZ208" s="199"/>
      <c r="AOA208" s="199"/>
      <c r="AOB208" s="199"/>
      <c r="AOC208" s="199"/>
      <c r="AOD208" s="199"/>
      <c r="AOE208" s="199"/>
      <c r="AOF208" s="199"/>
      <c r="AOG208" s="199"/>
      <c r="AOH208" s="199"/>
      <c r="AOI208" s="199"/>
      <c r="AOJ208" s="199"/>
      <c r="AOK208" s="199"/>
      <c r="AOL208" s="199"/>
      <c r="AOM208" s="199"/>
      <c r="AON208" s="199"/>
      <c r="AOO208" s="199"/>
      <c r="AOP208" s="199"/>
      <c r="AOQ208" s="199"/>
      <c r="AOR208" s="199"/>
      <c r="AOS208" s="199"/>
      <c r="AOT208" s="199"/>
      <c r="AOU208" s="199"/>
      <c r="AOV208" s="199"/>
      <c r="AOW208" s="199"/>
      <c r="AOX208" s="199"/>
      <c r="AOY208" s="199"/>
      <c r="AOZ208" s="199"/>
      <c r="APA208" s="199"/>
      <c r="APB208" s="199"/>
      <c r="APC208" s="199"/>
      <c r="APD208" s="199"/>
      <c r="APE208" s="199"/>
      <c r="APF208" s="199"/>
      <c r="APG208" s="199"/>
      <c r="APH208" s="199"/>
      <c r="API208" s="199"/>
      <c r="APJ208" s="199"/>
      <c r="APK208" s="199"/>
      <c r="APL208" s="199"/>
      <c r="APM208" s="199"/>
      <c r="APN208" s="199"/>
      <c r="APO208" s="199"/>
      <c r="APP208" s="199"/>
      <c r="APQ208" s="199"/>
      <c r="APR208" s="199"/>
      <c r="APS208" s="199"/>
      <c r="APT208" s="199"/>
      <c r="APU208" s="199"/>
      <c r="APV208" s="199"/>
      <c r="APW208" s="199"/>
      <c r="APX208" s="199"/>
      <c r="APY208" s="199"/>
      <c r="APZ208" s="199"/>
      <c r="AQA208" s="199"/>
      <c r="AQB208" s="199"/>
      <c r="AQC208" s="199"/>
      <c r="AQD208" s="199"/>
      <c r="AQE208" s="199"/>
      <c r="AQF208" s="199"/>
      <c r="AQG208" s="199"/>
      <c r="AQH208" s="199"/>
      <c r="AQI208" s="199"/>
      <c r="AQJ208" s="199"/>
      <c r="AQK208" s="199"/>
      <c r="AQL208" s="199"/>
      <c r="AQM208" s="199"/>
      <c r="AQN208" s="199"/>
      <c r="AQO208" s="199"/>
      <c r="AQP208" s="199"/>
      <c r="AQQ208" s="199"/>
      <c r="AQR208" s="199"/>
      <c r="AQS208" s="199"/>
      <c r="AQT208" s="199"/>
      <c r="AQU208" s="199"/>
      <c r="AQV208" s="199"/>
      <c r="AQW208" s="199"/>
      <c r="AQX208" s="199"/>
      <c r="AQY208" s="199"/>
      <c r="AQZ208" s="199"/>
      <c r="ARA208" s="199"/>
      <c r="ARB208" s="199"/>
      <c r="ARC208" s="199"/>
      <c r="ARD208" s="199"/>
      <c r="ARE208" s="199"/>
      <c r="ARF208" s="199"/>
      <c r="ARG208" s="199"/>
      <c r="ARH208" s="199"/>
      <c r="ARI208" s="199"/>
      <c r="ARJ208" s="199"/>
      <c r="ARK208" s="199"/>
      <c r="ARL208" s="199"/>
      <c r="ARM208" s="199"/>
      <c r="ARN208" s="199"/>
      <c r="ARO208" s="199"/>
      <c r="ARP208" s="199"/>
      <c r="ARQ208" s="199"/>
      <c r="ARR208" s="199"/>
      <c r="ARS208" s="199"/>
      <c r="ART208" s="199"/>
      <c r="ARU208" s="199"/>
      <c r="ARV208" s="199"/>
      <c r="ARW208" s="199"/>
      <c r="ARX208" s="199"/>
      <c r="ARY208" s="199"/>
      <c r="ARZ208" s="199"/>
      <c r="ASA208" s="199"/>
      <c r="ASB208" s="199"/>
      <c r="ASC208" s="199"/>
      <c r="ASD208" s="199"/>
      <c r="ASE208" s="199"/>
      <c r="ASF208" s="199"/>
      <c r="ASG208" s="199"/>
      <c r="ASH208" s="199"/>
      <c r="ASI208" s="199"/>
      <c r="ASJ208" s="199"/>
      <c r="ASK208" s="199"/>
      <c r="ASL208" s="199"/>
      <c r="ASM208" s="199"/>
      <c r="ASN208" s="199"/>
      <c r="ASO208" s="199"/>
      <c r="ASP208" s="199"/>
      <c r="ASQ208" s="199"/>
      <c r="ASR208" s="199"/>
      <c r="ASS208" s="199"/>
      <c r="AST208" s="199"/>
      <c r="ASU208" s="199"/>
      <c r="ASV208" s="199"/>
      <c r="ASW208" s="199"/>
      <c r="ASX208" s="199"/>
      <c r="ASY208" s="199"/>
      <c r="ASZ208" s="199"/>
      <c r="ATA208" s="199"/>
      <c r="ATB208" s="199"/>
      <c r="ATC208" s="199"/>
      <c r="ATD208" s="199"/>
      <c r="ATE208" s="199"/>
      <c r="ATF208" s="199"/>
      <c r="ATG208" s="199"/>
      <c r="ATH208" s="199"/>
      <c r="ATI208" s="199"/>
      <c r="ATJ208" s="199"/>
      <c r="ATK208" s="199"/>
      <c r="ATL208" s="199"/>
      <c r="ATM208" s="199"/>
      <c r="ATN208" s="199"/>
      <c r="ATO208" s="199"/>
      <c r="ATP208" s="199"/>
      <c r="ATQ208" s="199"/>
      <c r="ATR208" s="199"/>
      <c r="ATS208" s="199"/>
      <c r="ATT208" s="199"/>
      <c r="ATU208" s="199"/>
      <c r="ATV208" s="199"/>
      <c r="ATW208" s="199"/>
      <c r="ATX208" s="199"/>
      <c r="ATY208" s="199"/>
      <c r="ATZ208" s="199"/>
      <c r="AUA208" s="199"/>
      <c r="AUB208" s="199"/>
      <c r="AUC208" s="199"/>
      <c r="AUD208" s="199"/>
      <c r="AUE208" s="199"/>
      <c r="AUF208" s="199"/>
      <c r="AUG208" s="199"/>
      <c r="AUH208" s="199"/>
      <c r="AUI208" s="199"/>
      <c r="AUJ208" s="199"/>
      <c r="AUK208" s="199"/>
      <c r="AUL208" s="199"/>
      <c r="AUM208" s="199"/>
      <c r="AUN208" s="199"/>
      <c r="AUO208" s="199"/>
      <c r="AUP208" s="199"/>
      <c r="AUQ208" s="199"/>
      <c r="AUR208" s="199"/>
      <c r="AUS208" s="199"/>
      <c r="AUT208" s="199"/>
      <c r="AUU208" s="199"/>
      <c r="AUV208" s="199"/>
      <c r="AUW208" s="199"/>
      <c r="AUX208" s="199"/>
      <c r="AUY208" s="199"/>
      <c r="AUZ208" s="199"/>
      <c r="AVA208" s="199"/>
      <c r="AVB208" s="199"/>
      <c r="AVC208" s="199"/>
      <c r="AVD208" s="199"/>
      <c r="AVE208" s="199"/>
      <c r="AVF208" s="199"/>
      <c r="AVG208" s="199"/>
      <c r="AVH208" s="199"/>
      <c r="AVI208" s="199"/>
      <c r="AVJ208" s="199"/>
      <c r="AVK208" s="199"/>
      <c r="AVL208" s="199"/>
      <c r="AVM208" s="199"/>
      <c r="AVN208" s="199"/>
      <c r="AVO208" s="199"/>
      <c r="AVP208" s="199"/>
      <c r="AVQ208" s="199"/>
      <c r="AVR208" s="199"/>
      <c r="AVS208" s="199"/>
      <c r="AVT208" s="199"/>
      <c r="AVU208" s="199"/>
      <c r="AVV208" s="199"/>
      <c r="AVW208" s="199"/>
      <c r="AVX208" s="199"/>
      <c r="AVY208" s="199"/>
      <c r="AVZ208" s="199"/>
      <c r="AWA208" s="199"/>
      <c r="AWB208" s="199"/>
      <c r="AWC208" s="199"/>
      <c r="AWD208" s="199"/>
      <c r="AWE208" s="199"/>
      <c r="AWF208" s="199"/>
      <c r="AWG208" s="199"/>
      <c r="AWH208" s="199"/>
      <c r="AWI208" s="199"/>
      <c r="AWJ208" s="199"/>
      <c r="AWK208" s="199"/>
      <c r="AWL208" s="199"/>
      <c r="AWM208" s="199"/>
      <c r="AWN208" s="199"/>
      <c r="AWO208" s="199"/>
      <c r="AWP208" s="199"/>
      <c r="AWQ208" s="199"/>
      <c r="AWR208" s="199"/>
      <c r="AWS208" s="199"/>
      <c r="AWT208" s="199"/>
      <c r="AWU208" s="199"/>
      <c r="AWV208" s="199"/>
      <c r="AWW208" s="199"/>
      <c r="AWX208" s="199"/>
      <c r="AWY208" s="199"/>
      <c r="AWZ208" s="199"/>
      <c r="AXA208" s="199"/>
      <c r="AXB208" s="199"/>
      <c r="AXC208" s="199"/>
      <c r="AXD208" s="199"/>
      <c r="AXE208" s="199"/>
      <c r="AXF208" s="199"/>
      <c r="AXG208" s="199"/>
      <c r="AXH208" s="199"/>
      <c r="AXI208" s="199"/>
      <c r="AXJ208" s="199"/>
      <c r="AXK208" s="199"/>
      <c r="AXL208" s="199"/>
      <c r="AXM208" s="199"/>
      <c r="AXN208" s="199"/>
      <c r="AXO208" s="199"/>
      <c r="AXP208" s="199"/>
      <c r="AXQ208" s="199"/>
      <c r="AXR208" s="199"/>
      <c r="AXS208" s="199"/>
      <c r="AXT208" s="199"/>
      <c r="AXU208" s="199"/>
      <c r="AXV208" s="199"/>
      <c r="AXW208" s="199"/>
      <c r="AXX208" s="199"/>
      <c r="AXY208" s="199"/>
      <c r="AXZ208" s="199"/>
      <c r="AYA208" s="199"/>
      <c r="AYB208" s="199"/>
      <c r="AYC208" s="199"/>
      <c r="AYD208" s="199"/>
      <c r="AYE208" s="199"/>
      <c r="AYF208" s="199"/>
      <c r="AYG208" s="199"/>
      <c r="AYH208" s="199"/>
      <c r="AYI208" s="199"/>
      <c r="AYJ208" s="199"/>
      <c r="AYK208" s="199"/>
      <c r="AYL208" s="199"/>
      <c r="AYM208" s="199"/>
      <c r="AYN208" s="199"/>
      <c r="AYO208" s="199"/>
      <c r="AYP208" s="199"/>
      <c r="AYQ208" s="199"/>
      <c r="AYR208" s="199"/>
      <c r="AYS208" s="199"/>
      <c r="AYT208" s="199"/>
      <c r="AYU208" s="199"/>
      <c r="AYV208" s="199"/>
      <c r="AYW208" s="199"/>
      <c r="AYX208" s="199"/>
      <c r="AYY208" s="199"/>
      <c r="AYZ208" s="199"/>
      <c r="AZA208" s="199"/>
      <c r="AZB208" s="199"/>
      <c r="AZC208" s="199"/>
      <c r="AZD208" s="199"/>
      <c r="AZE208" s="199"/>
      <c r="AZF208" s="199"/>
      <c r="AZG208" s="199"/>
      <c r="AZH208" s="199"/>
      <c r="AZI208" s="199"/>
      <c r="AZJ208" s="199"/>
      <c r="AZK208" s="199"/>
      <c r="AZL208" s="199"/>
      <c r="AZM208" s="199"/>
      <c r="AZN208" s="199"/>
      <c r="AZO208" s="199"/>
      <c r="AZP208" s="199"/>
      <c r="AZQ208" s="199"/>
      <c r="AZR208" s="199"/>
      <c r="AZS208" s="199"/>
      <c r="AZT208" s="199"/>
      <c r="AZU208" s="199"/>
      <c r="AZV208" s="199"/>
      <c r="AZW208" s="199"/>
      <c r="AZX208" s="199"/>
      <c r="AZY208" s="199"/>
      <c r="AZZ208" s="199"/>
      <c r="BAA208" s="199"/>
      <c r="BAB208" s="199"/>
      <c r="BAC208" s="199"/>
      <c r="BAD208" s="199"/>
      <c r="BAE208" s="199"/>
      <c r="BAF208" s="199"/>
      <c r="BAG208" s="199"/>
      <c r="BAH208" s="199"/>
      <c r="BAI208" s="199"/>
      <c r="BAJ208" s="199"/>
      <c r="BAK208" s="199"/>
      <c r="BAL208" s="199"/>
      <c r="BAM208" s="199"/>
      <c r="BAN208" s="199"/>
      <c r="BAO208" s="199"/>
      <c r="BAP208" s="199"/>
      <c r="BAQ208" s="199"/>
      <c r="BAR208" s="199"/>
      <c r="BAS208" s="199"/>
      <c r="BAT208" s="199"/>
      <c r="BAU208" s="199"/>
      <c r="BAV208" s="199"/>
      <c r="BAW208" s="199"/>
      <c r="BAX208" s="199"/>
      <c r="BAY208" s="199"/>
      <c r="BAZ208" s="199"/>
      <c r="BBA208" s="199"/>
      <c r="BBB208" s="199"/>
      <c r="BBC208" s="199"/>
      <c r="BBD208" s="199"/>
      <c r="BBE208" s="199"/>
      <c r="BBF208" s="199"/>
      <c r="BBG208" s="199"/>
      <c r="BBH208" s="199"/>
      <c r="BBI208" s="199"/>
      <c r="BBJ208" s="199"/>
      <c r="BBK208" s="199"/>
      <c r="BBL208" s="199"/>
      <c r="BBM208" s="199"/>
      <c r="BBN208" s="199"/>
      <c r="BBO208" s="199"/>
      <c r="BBP208" s="199"/>
      <c r="BBQ208" s="199"/>
      <c r="BBR208" s="199"/>
      <c r="BBS208" s="199"/>
      <c r="BBT208" s="199"/>
      <c r="BBU208" s="199"/>
      <c r="BBV208" s="199"/>
      <c r="BBW208" s="199"/>
      <c r="BBX208" s="199"/>
      <c r="BBY208" s="199"/>
      <c r="BBZ208" s="199"/>
      <c r="BCA208" s="199"/>
      <c r="BCB208" s="199"/>
      <c r="BCC208" s="199"/>
      <c r="BCD208" s="199"/>
      <c r="BCE208" s="199"/>
      <c r="BCF208" s="199"/>
      <c r="BCG208" s="199"/>
      <c r="BCH208" s="199"/>
      <c r="BCI208" s="199"/>
      <c r="BCJ208" s="199"/>
      <c r="BCK208" s="199"/>
      <c r="BCL208" s="199"/>
      <c r="BCM208" s="199"/>
      <c r="BCN208" s="199"/>
      <c r="BCO208" s="199"/>
      <c r="BCP208" s="199"/>
      <c r="BCQ208" s="199"/>
      <c r="BCR208" s="199"/>
      <c r="BCS208" s="199"/>
      <c r="BCT208" s="199"/>
      <c r="BCU208" s="199"/>
      <c r="BCV208" s="199"/>
      <c r="BCW208" s="199"/>
      <c r="BCX208" s="199"/>
      <c r="BCY208" s="199"/>
      <c r="BCZ208" s="199"/>
      <c r="BDA208" s="199"/>
      <c r="BDB208" s="199"/>
      <c r="BDC208" s="199"/>
      <c r="BDD208" s="199"/>
      <c r="BDE208" s="199"/>
      <c r="BDF208" s="199"/>
      <c r="BDG208" s="199"/>
      <c r="BDH208" s="199"/>
      <c r="BDI208" s="199"/>
      <c r="BDJ208" s="199"/>
      <c r="BDK208" s="199"/>
      <c r="BDL208" s="199"/>
      <c r="BDM208" s="199"/>
      <c r="BDN208" s="199"/>
      <c r="BDO208" s="199"/>
      <c r="BDP208" s="199"/>
      <c r="BDQ208" s="199"/>
      <c r="BDR208" s="199"/>
      <c r="BDS208" s="199"/>
      <c r="BDT208" s="199"/>
      <c r="BDU208" s="199"/>
      <c r="BDV208" s="199"/>
      <c r="BDW208" s="199"/>
      <c r="BDX208" s="199"/>
      <c r="BDY208" s="199"/>
      <c r="BDZ208" s="199"/>
      <c r="BEA208" s="199"/>
      <c r="BEB208" s="199"/>
      <c r="BEC208" s="199"/>
      <c r="BED208" s="199"/>
      <c r="BEE208" s="199"/>
      <c r="BEF208" s="199"/>
      <c r="BEG208" s="199"/>
      <c r="BEH208" s="199"/>
      <c r="BEI208" s="199"/>
      <c r="BEJ208" s="199"/>
      <c r="BEK208" s="199"/>
      <c r="BEL208" s="199"/>
      <c r="BEM208" s="199"/>
      <c r="BEN208" s="199"/>
      <c r="BEO208" s="199"/>
      <c r="BEP208" s="199"/>
      <c r="BEQ208" s="199"/>
      <c r="BER208" s="199"/>
      <c r="BES208" s="199"/>
      <c r="BET208" s="199"/>
      <c r="BEU208" s="199"/>
      <c r="BEV208" s="199"/>
      <c r="BEW208" s="199"/>
      <c r="BEX208" s="199"/>
      <c r="BEY208" s="199"/>
      <c r="BEZ208" s="199"/>
      <c r="BFA208" s="199"/>
      <c r="BFB208" s="199"/>
      <c r="BFC208" s="199"/>
      <c r="BFD208" s="199"/>
      <c r="BFE208" s="199"/>
      <c r="BFF208" s="199"/>
      <c r="BFG208" s="199"/>
      <c r="BFH208" s="199"/>
      <c r="BFI208" s="199"/>
      <c r="BFJ208" s="199"/>
      <c r="BFK208" s="199"/>
      <c r="BFL208" s="199"/>
      <c r="BFM208" s="199"/>
      <c r="BFN208" s="199"/>
      <c r="BFO208" s="199"/>
      <c r="BFP208" s="199"/>
      <c r="BFQ208" s="199"/>
      <c r="BFR208" s="199"/>
      <c r="BFS208" s="199"/>
      <c r="BFT208" s="199"/>
      <c r="BFU208" s="199"/>
      <c r="BFV208" s="199"/>
      <c r="BFW208" s="199"/>
      <c r="BFX208" s="199"/>
      <c r="BFY208" s="199"/>
      <c r="BFZ208" s="199"/>
      <c r="BGA208" s="199"/>
      <c r="BGB208" s="199"/>
      <c r="BGC208" s="199"/>
      <c r="BGD208" s="199"/>
      <c r="BGE208" s="199"/>
      <c r="BGF208" s="199"/>
      <c r="BGG208" s="199"/>
      <c r="BGH208" s="199"/>
      <c r="BGI208" s="199"/>
      <c r="BGJ208" s="199"/>
      <c r="BGK208" s="199"/>
      <c r="BGL208" s="199"/>
      <c r="BGM208" s="199"/>
      <c r="BGN208" s="199"/>
      <c r="BGO208" s="199"/>
      <c r="BGP208" s="199"/>
      <c r="BGQ208" s="199"/>
      <c r="BGR208" s="199"/>
      <c r="BGS208" s="199"/>
      <c r="BGT208" s="199"/>
      <c r="BGU208" s="199"/>
      <c r="BGV208" s="199"/>
      <c r="BGW208" s="199"/>
      <c r="BGX208" s="199"/>
      <c r="BGY208" s="199"/>
      <c r="BGZ208" s="199"/>
      <c r="BHA208" s="199"/>
      <c r="BHB208" s="199"/>
      <c r="BHC208" s="199"/>
      <c r="BHD208" s="199"/>
      <c r="BHE208" s="199"/>
      <c r="BHF208" s="199"/>
      <c r="BHG208" s="199"/>
      <c r="BHH208" s="199"/>
      <c r="BHI208" s="199"/>
      <c r="BHJ208" s="199"/>
      <c r="BHK208" s="199"/>
      <c r="BHL208" s="199"/>
      <c r="BHM208" s="199"/>
      <c r="BHN208" s="199"/>
      <c r="BHO208" s="199"/>
      <c r="BHP208" s="199"/>
      <c r="BHQ208" s="199"/>
      <c r="BHR208" s="199"/>
      <c r="BHS208" s="199"/>
      <c r="BHT208" s="199"/>
      <c r="BHU208" s="199"/>
      <c r="BHV208" s="199"/>
      <c r="BHW208" s="199"/>
      <c r="BHX208" s="199"/>
      <c r="BHY208" s="199"/>
      <c r="BHZ208" s="199"/>
      <c r="BIA208" s="199"/>
      <c r="BIB208" s="199"/>
      <c r="BIC208" s="199"/>
      <c r="BID208" s="199"/>
      <c r="BIE208" s="199"/>
      <c r="BIF208" s="199"/>
      <c r="BIG208" s="199"/>
      <c r="BIH208" s="199"/>
      <c r="BII208" s="199"/>
      <c r="BIJ208" s="199"/>
      <c r="BIK208" s="199"/>
      <c r="BIL208" s="199"/>
      <c r="BIM208" s="199"/>
      <c r="BIN208" s="199"/>
      <c r="BIO208" s="199"/>
      <c r="BIP208" s="199"/>
      <c r="BIQ208" s="199"/>
      <c r="BIR208" s="199"/>
      <c r="BIS208" s="199"/>
      <c r="BIT208" s="199"/>
      <c r="BIU208" s="199"/>
      <c r="BIV208" s="199"/>
      <c r="BIW208" s="199"/>
      <c r="BIX208" s="199"/>
      <c r="BIY208" s="199"/>
      <c r="BIZ208" s="199"/>
      <c r="BJA208" s="199"/>
      <c r="BJB208" s="199"/>
      <c r="BJC208" s="199"/>
      <c r="BJD208" s="199"/>
      <c r="BJE208" s="199"/>
      <c r="BJF208" s="199"/>
      <c r="BJG208" s="199"/>
      <c r="BJH208" s="199"/>
      <c r="BJI208" s="199"/>
      <c r="BJJ208" s="199"/>
      <c r="BJK208" s="199"/>
      <c r="BJL208" s="199"/>
      <c r="BJM208" s="199"/>
      <c r="BJN208" s="199"/>
      <c r="BJO208" s="199"/>
      <c r="BJP208" s="199"/>
      <c r="BJQ208" s="199"/>
      <c r="BJR208" s="199"/>
      <c r="BJS208" s="199"/>
      <c r="BJT208" s="199"/>
      <c r="BJU208" s="199"/>
      <c r="BJV208" s="199"/>
      <c r="BJW208" s="199"/>
      <c r="BJX208" s="199"/>
      <c r="BJY208" s="199"/>
      <c r="BJZ208" s="199"/>
      <c r="BKA208" s="199"/>
      <c r="BKB208" s="199"/>
      <c r="BKC208" s="199"/>
      <c r="BKD208" s="199"/>
      <c r="BKE208" s="199"/>
      <c r="BKF208" s="199"/>
      <c r="BKG208" s="199"/>
      <c r="BKH208" s="199"/>
      <c r="BKI208" s="199"/>
      <c r="BKJ208" s="199"/>
      <c r="BKK208" s="199"/>
      <c r="BKL208" s="199"/>
      <c r="BKM208" s="199"/>
      <c r="BKN208" s="199"/>
      <c r="BKO208" s="199"/>
      <c r="BKP208" s="199"/>
      <c r="BKQ208" s="199"/>
      <c r="BKR208" s="199"/>
      <c r="BKS208" s="199"/>
      <c r="BKT208" s="199"/>
      <c r="BKU208" s="199"/>
      <c r="BKV208" s="199"/>
      <c r="BKW208" s="199"/>
      <c r="BKX208" s="199"/>
      <c r="BKY208" s="199"/>
      <c r="BKZ208" s="199"/>
      <c r="BLA208" s="199"/>
      <c r="BLB208" s="199"/>
      <c r="BLC208" s="199"/>
      <c r="BLD208" s="199"/>
      <c r="BLE208" s="199"/>
      <c r="BLF208" s="199"/>
      <c r="BLG208" s="199"/>
      <c r="BLH208" s="199"/>
      <c r="BLI208" s="199"/>
      <c r="BLJ208" s="199"/>
      <c r="BLK208" s="199"/>
      <c r="BLL208" s="199"/>
      <c r="BLM208" s="199"/>
      <c r="BLN208" s="199"/>
      <c r="BLO208" s="199"/>
      <c r="BLP208" s="199"/>
      <c r="BLQ208" s="199"/>
      <c r="BLR208" s="199"/>
      <c r="BLS208" s="199"/>
      <c r="BLT208" s="199"/>
      <c r="BLU208" s="199"/>
      <c r="BLV208" s="199"/>
      <c r="BLW208" s="199"/>
      <c r="BLX208" s="199"/>
      <c r="BLY208" s="199"/>
      <c r="BLZ208" s="199"/>
      <c r="BMA208" s="199"/>
      <c r="BMB208" s="199"/>
      <c r="BMC208" s="199"/>
      <c r="BMD208" s="199"/>
      <c r="BME208" s="199"/>
      <c r="BMF208" s="199"/>
      <c r="BMG208" s="199"/>
      <c r="BMH208" s="199"/>
      <c r="BMI208" s="199"/>
      <c r="BMJ208" s="199"/>
      <c r="BMK208" s="199"/>
      <c r="BML208" s="199"/>
      <c r="BMM208" s="199"/>
      <c r="BMN208" s="199"/>
      <c r="BMO208" s="199"/>
      <c r="BMP208" s="199"/>
      <c r="BMQ208" s="199"/>
      <c r="BMR208" s="199"/>
      <c r="BMS208" s="199"/>
      <c r="BMT208" s="199"/>
      <c r="BMU208" s="199"/>
      <c r="BMV208" s="199"/>
      <c r="BMW208" s="199"/>
      <c r="BMX208" s="199"/>
      <c r="BMY208" s="199"/>
      <c r="BMZ208" s="199"/>
      <c r="BNA208" s="199"/>
      <c r="BNB208" s="199"/>
      <c r="BNC208" s="199"/>
      <c r="BND208" s="199"/>
      <c r="BNE208" s="199"/>
      <c r="BNF208" s="199"/>
      <c r="BNG208" s="199"/>
      <c r="BNH208" s="199"/>
      <c r="BNI208" s="199"/>
      <c r="BNJ208" s="199"/>
      <c r="BNK208" s="199"/>
      <c r="BNL208" s="199"/>
      <c r="BNM208" s="199"/>
      <c r="BNN208" s="199"/>
      <c r="BNO208" s="199"/>
      <c r="BNP208" s="199"/>
      <c r="BNQ208" s="199"/>
      <c r="BNR208" s="199"/>
      <c r="BNS208" s="199"/>
      <c r="BNT208" s="199"/>
      <c r="BNU208" s="199"/>
      <c r="BNV208" s="199"/>
      <c r="BNW208" s="199"/>
      <c r="BNX208" s="199"/>
      <c r="BNY208" s="199"/>
      <c r="BNZ208" s="199"/>
      <c r="BOA208" s="199"/>
      <c r="BOB208" s="199"/>
      <c r="BOC208" s="199"/>
      <c r="BOD208" s="199"/>
      <c r="BOE208" s="199"/>
      <c r="BOF208" s="199"/>
      <c r="BOG208" s="199"/>
      <c r="BOH208" s="199"/>
      <c r="BOI208" s="199"/>
      <c r="BOJ208" s="199"/>
      <c r="BOK208" s="199"/>
      <c r="BOL208" s="199"/>
      <c r="BOM208" s="199"/>
      <c r="BON208" s="199"/>
      <c r="BOO208" s="199"/>
      <c r="BOP208" s="199"/>
      <c r="BOQ208" s="199"/>
      <c r="BOR208" s="199"/>
      <c r="BOS208" s="199"/>
      <c r="BOT208" s="199"/>
      <c r="BOU208" s="199"/>
      <c r="BOV208" s="199"/>
      <c r="BOW208" s="199"/>
      <c r="BOX208" s="199"/>
      <c r="BOY208" s="199"/>
      <c r="BOZ208" s="199"/>
      <c r="BPA208" s="199"/>
      <c r="BPB208" s="199"/>
      <c r="BPC208" s="199"/>
      <c r="BPD208" s="199"/>
      <c r="BPE208" s="199"/>
      <c r="BPF208" s="199"/>
      <c r="BPG208" s="199"/>
      <c r="BPH208" s="199"/>
      <c r="BPI208" s="199"/>
      <c r="BPJ208" s="199"/>
      <c r="BPK208" s="199"/>
      <c r="BPL208" s="199"/>
      <c r="BPM208" s="199"/>
      <c r="BPN208" s="199"/>
      <c r="BPO208" s="199"/>
      <c r="BPP208" s="199"/>
      <c r="BPQ208" s="199"/>
      <c r="BPR208" s="199"/>
      <c r="BPS208" s="199"/>
      <c r="BPT208" s="199"/>
      <c r="BPU208" s="199"/>
      <c r="BPV208" s="199"/>
      <c r="BPW208" s="199"/>
      <c r="BPX208" s="199"/>
      <c r="BPY208" s="199"/>
      <c r="BPZ208" s="199"/>
      <c r="BQA208" s="199"/>
      <c r="BQB208" s="199"/>
      <c r="BQC208" s="199"/>
      <c r="BQD208" s="199"/>
      <c r="BQE208" s="199"/>
      <c r="BQF208" s="199"/>
      <c r="BQG208" s="199"/>
      <c r="BQH208" s="199"/>
      <c r="BQI208" s="199"/>
      <c r="BQJ208" s="199"/>
      <c r="BQK208" s="199"/>
      <c r="BQL208" s="199"/>
      <c r="BQM208" s="199"/>
      <c r="BQN208" s="199"/>
      <c r="BQO208" s="199"/>
      <c r="BQP208" s="199"/>
      <c r="BQQ208" s="199"/>
      <c r="BQR208" s="199"/>
      <c r="BQS208" s="199"/>
      <c r="BQT208" s="199"/>
      <c r="BQU208" s="199"/>
      <c r="BQV208" s="199"/>
      <c r="BQW208" s="199"/>
      <c r="BQX208" s="199"/>
      <c r="BQY208" s="199"/>
      <c r="BQZ208" s="199"/>
      <c r="BRA208" s="199"/>
      <c r="BRB208" s="199"/>
      <c r="BRC208" s="199"/>
      <c r="BRD208" s="199"/>
      <c r="BRE208" s="199"/>
      <c r="BRF208" s="199"/>
      <c r="BRG208" s="199"/>
      <c r="BRH208" s="199"/>
      <c r="BRI208" s="199"/>
      <c r="BRJ208" s="199"/>
      <c r="BRK208" s="199"/>
      <c r="BRL208" s="199"/>
      <c r="BRM208" s="199"/>
      <c r="BRN208" s="199"/>
      <c r="BRO208" s="199"/>
      <c r="BRP208" s="199"/>
      <c r="BRQ208" s="199"/>
      <c r="BRR208" s="199"/>
      <c r="BRS208" s="199"/>
      <c r="BRT208" s="199"/>
      <c r="BRU208" s="199"/>
      <c r="BRV208" s="199"/>
      <c r="BRW208" s="199"/>
      <c r="BRX208" s="199"/>
      <c r="BRY208" s="199"/>
      <c r="BRZ208" s="199"/>
      <c r="BSA208" s="199"/>
      <c r="BSB208" s="199"/>
      <c r="BSC208" s="199"/>
      <c r="BSD208" s="199"/>
      <c r="BSE208" s="199"/>
      <c r="BSF208" s="199"/>
      <c r="BSG208" s="199"/>
      <c r="BSH208" s="199"/>
      <c r="BSI208" s="199"/>
      <c r="BSJ208" s="199"/>
      <c r="BSK208" s="199"/>
      <c r="BSL208" s="199"/>
      <c r="BSM208" s="199"/>
      <c r="BSN208" s="199"/>
      <c r="BSO208" s="199"/>
      <c r="BSP208" s="199"/>
      <c r="BSQ208" s="199"/>
      <c r="BSR208" s="199"/>
      <c r="BSS208" s="199"/>
      <c r="BST208" s="199"/>
      <c r="BSU208" s="199"/>
      <c r="BSV208" s="199"/>
      <c r="BSW208" s="199"/>
      <c r="BSX208" s="199"/>
      <c r="BSY208" s="199"/>
      <c r="BSZ208" s="199"/>
      <c r="BTA208" s="199"/>
      <c r="BTB208" s="199"/>
      <c r="BTC208" s="199"/>
      <c r="BTD208" s="199"/>
      <c r="BTE208" s="199"/>
      <c r="BTF208" s="199"/>
      <c r="BTG208" s="199"/>
      <c r="BTH208" s="199"/>
      <c r="BTI208" s="199"/>
      <c r="BTJ208" s="199"/>
      <c r="BTK208" s="199"/>
      <c r="BTL208" s="199"/>
      <c r="BTM208" s="199"/>
      <c r="BTN208" s="199"/>
      <c r="BTO208" s="199"/>
      <c r="BTP208" s="199"/>
      <c r="BTQ208" s="199"/>
      <c r="BTR208" s="199"/>
      <c r="BTS208" s="199"/>
      <c r="BTT208" s="199"/>
      <c r="BTU208" s="199"/>
      <c r="BTV208" s="199"/>
      <c r="BTW208" s="199"/>
      <c r="BTX208" s="199"/>
      <c r="BTY208" s="199"/>
      <c r="BTZ208" s="199"/>
      <c r="BUA208" s="199"/>
      <c r="BUB208" s="199"/>
      <c r="BUC208" s="199"/>
      <c r="BUD208" s="199"/>
      <c r="BUE208" s="199"/>
      <c r="BUF208" s="199"/>
      <c r="BUG208" s="199"/>
      <c r="BUH208" s="199"/>
      <c r="BUI208" s="199"/>
      <c r="BUJ208" s="199"/>
      <c r="BUK208" s="199"/>
      <c r="BUL208" s="199"/>
      <c r="BUM208" s="199"/>
      <c r="BUN208" s="199"/>
      <c r="BUO208" s="199"/>
      <c r="BUP208" s="199"/>
      <c r="BUQ208" s="199"/>
      <c r="BUR208" s="199"/>
      <c r="BUS208" s="199"/>
      <c r="BUT208" s="199"/>
      <c r="BUU208" s="199"/>
      <c r="BUV208" s="199"/>
      <c r="BUW208" s="199"/>
      <c r="BUX208" s="199"/>
      <c r="BUY208" s="199"/>
      <c r="BUZ208" s="199"/>
      <c r="BVA208" s="199"/>
      <c r="BVB208" s="199"/>
      <c r="BVC208" s="199"/>
      <c r="BVD208" s="199"/>
      <c r="BVE208" s="199"/>
      <c r="BVF208" s="199"/>
      <c r="BVG208" s="199"/>
      <c r="BVH208" s="199"/>
      <c r="BVI208" s="199"/>
      <c r="BVJ208" s="199"/>
      <c r="BVK208" s="199"/>
      <c r="BVL208" s="199"/>
      <c r="BVM208" s="199"/>
      <c r="BVN208" s="199"/>
      <c r="BVO208" s="199"/>
      <c r="BVP208" s="199"/>
      <c r="BVQ208" s="199"/>
      <c r="BVR208" s="199"/>
      <c r="BVS208" s="199"/>
      <c r="BVT208" s="199"/>
      <c r="BVU208" s="199"/>
      <c r="BVV208" s="199"/>
      <c r="BVW208" s="199"/>
      <c r="BVX208" s="199"/>
      <c r="BVY208" s="199"/>
      <c r="BVZ208" s="199"/>
      <c r="BWA208" s="199"/>
      <c r="BWB208" s="199"/>
      <c r="BWC208" s="199"/>
      <c r="BWD208" s="199"/>
      <c r="BWE208" s="199"/>
      <c r="BWF208" s="199"/>
      <c r="BWG208" s="199"/>
      <c r="BWH208" s="199"/>
      <c r="BWI208" s="199"/>
      <c r="BWJ208" s="199"/>
      <c r="BWK208" s="199"/>
      <c r="BWL208" s="199"/>
      <c r="BWM208" s="199"/>
      <c r="BWN208" s="199"/>
      <c r="BWO208" s="199"/>
      <c r="BWP208" s="199"/>
      <c r="BWQ208" s="199"/>
      <c r="BWR208" s="199"/>
      <c r="BWS208" s="199"/>
      <c r="BWT208" s="199"/>
      <c r="BWU208" s="199"/>
      <c r="BWV208" s="199"/>
      <c r="BWW208" s="199"/>
      <c r="BWX208" s="199"/>
      <c r="BWY208" s="199"/>
      <c r="BWZ208" s="199"/>
      <c r="BXA208" s="199"/>
      <c r="BXB208" s="199"/>
      <c r="BXC208" s="199"/>
      <c r="BXD208" s="199"/>
      <c r="BXE208" s="199"/>
      <c r="BXF208" s="199"/>
      <c r="BXG208" s="199"/>
      <c r="BXH208" s="199"/>
      <c r="BXI208" s="199"/>
      <c r="BXJ208" s="199"/>
      <c r="BXK208" s="199"/>
      <c r="BXL208" s="199"/>
      <c r="BXM208" s="199"/>
      <c r="BXN208" s="199"/>
      <c r="BXO208" s="199"/>
      <c r="BXP208" s="199"/>
      <c r="BXQ208" s="199"/>
      <c r="BXR208" s="199"/>
      <c r="BXS208" s="199"/>
      <c r="BXT208" s="199"/>
      <c r="BXU208" s="199"/>
      <c r="BXV208" s="199"/>
      <c r="BXW208" s="199"/>
      <c r="BXX208" s="199"/>
      <c r="BXY208" s="199"/>
      <c r="BXZ208" s="199"/>
      <c r="BYA208" s="199"/>
      <c r="BYB208" s="199"/>
      <c r="BYC208" s="199"/>
      <c r="BYD208" s="199"/>
      <c r="BYE208" s="199"/>
      <c r="BYF208" s="199"/>
      <c r="BYG208" s="199"/>
      <c r="BYH208" s="199"/>
      <c r="BYI208" s="199"/>
      <c r="BYJ208" s="199"/>
      <c r="BYK208" s="199"/>
      <c r="BYL208" s="199"/>
      <c r="BYM208" s="199"/>
      <c r="BYN208" s="199"/>
      <c r="BYO208" s="199"/>
      <c r="BYP208" s="199"/>
      <c r="BYQ208" s="199"/>
      <c r="BYR208" s="199"/>
      <c r="BYS208" s="199"/>
      <c r="BYT208" s="199"/>
      <c r="BYU208" s="199"/>
      <c r="BYV208" s="199"/>
      <c r="BYW208" s="199"/>
      <c r="BYX208" s="199"/>
      <c r="BYY208" s="199"/>
      <c r="BYZ208" s="199"/>
      <c r="BZA208" s="199"/>
      <c r="BZB208" s="199"/>
      <c r="BZC208" s="199"/>
      <c r="BZD208" s="199"/>
      <c r="BZE208" s="199"/>
      <c r="BZF208" s="199"/>
      <c r="BZG208" s="199"/>
      <c r="BZH208" s="199"/>
      <c r="BZI208" s="199"/>
      <c r="BZJ208" s="199"/>
      <c r="BZK208" s="199"/>
      <c r="BZL208" s="199"/>
      <c r="BZM208" s="199"/>
      <c r="BZN208" s="199"/>
      <c r="BZO208" s="199"/>
      <c r="BZP208" s="199"/>
      <c r="BZQ208" s="199"/>
      <c r="BZR208" s="199"/>
      <c r="BZS208" s="199"/>
      <c r="BZT208" s="199"/>
      <c r="BZU208" s="199"/>
      <c r="BZV208" s="199"/>
      <c r="BZW208" s="199"/>
      <c r="BZX208" s="199"/>
      <c r="BZY208" s="199"/>
      <c r="BZZ208" s="199"/>
      <c r="CAA208" s="199"/>
      <c r="CAB208" s="199"/>
      <c r="CAC208" s="199"/>
      <c r="CAD208" s="199"/>
      <c r="CAE208" s="199"/>
      <c r="CAF208" s="199"/>
      <c r="CAG208" s="199"/>
      <c r="CAH208" s="199"/>
      <c r="CAI208" s="199"/>
      <c r="CAJ208" s="199"/>
      <c r="CAK208" s="199"/>
      <c r="CAL208" s="199"/>
      <c r="CAM208" s="199"/>
      <c r="CAN208" s="199"/>
      <c r="CAO208" s="199"/>
      <c r="CAP208" s="199"/>
      <c r="CAQ208" s="199"/>
      <c r="CAR208" s="199"/>
      <c r="CAS208" s="199"/>
      <c r="CAT208" s="199"/>
      <c r="CAU208" s="199"/>
      <c r="CAV208" s="199"/>
      <c r="CAW208" s="199"/>
      <c r="CAX208" s="199"/>
      <c r="CAY208" s="199"/>
      <c r="CAZ208" s="199"/>
      <c r="CBA208" s="199"/>
      <c r="CBB208" s="199"/>
      <c r="CBC208" s="199"/>
      <c r="CBD208" s="199"/>
      <c r="CBE208" s="199"/>
      <c r="CBF208" s="199"/>
      <c r="CBG208" s="199"/>
      <c r="CBH208" s="199"/>
      <c r="CBI208" s="199"/>
      <c r="CBJ208" s="199"/>
      <c r="CBK208" s="199"/>
      <c r="CBL208" s="199"/>
      <c r="CBM208" s="199"/>
      <c r="CBN208" s="199"/>
      <c r="CBO208" s="199"/>
      <c r="CBP208" s="199"/>
      <c r="CBQ208" s="199"/>
      <c r="CBR208" s="199"/>
      <c r="CBS208" s="199"/>
      <c r="CBT208" s="199"/>
      <c r="CBU208" s="199"/>
      <c r="CBV208" s="199"/>
      <c r="CBW208" s="199"/>
      <c r="CBX208" s="199"/>
      <c r="CBY208" s="199"/>
      <c r="CBZ208" s="199"/>
      <c r="CCA208" s="199"/>
      <c r="CCB208" s="199"/>
      <c r="CCC208" s="199"/>
      <c r="CCD208" s="199"/>
      <c r="CCE208" s="199"/>
      <c r="CCF208" s="199"/>
      <c r="CCG208" s="199"/>
      <c r="CCH208" s="199"/>
      <c r="CCI208" s="199"/>
      <c r="CCJ208" s="199"/>
      <c r="CCK208" s="199"/>
      <c r="CCL208" s="199"/>
      <c r="CCM208" s="199"/>
      <c r="CCN208" s="199"/>
      <c r="CCO208" s="199"/>
      <c r="CCP208" s="199"/>
      <c r="CCQ208" s="199"/>
      <c r="CCR208" s="199"/>
      <c r="CCS208" s="199"/>
      <c r="CCT208" s="199"/>
      <c r="CCU208" s="199"/>
      <c r="CCV208" s="199"/>
      <c r="CCW208" s="199"/>
      <c r="CCX208" s="199"/>
      <c r="CCY208" s="199"/>
      <c r="CCZ208" s="199"/>
      <c r="CDA208" s="199"/>
      <c r="CDB208" s="199"/>
      <c r="CDC208" s="199"/>
      <c r="CDD208" s="199"/>
      <c r="CDE208" s="199"/>
      <c r="CDF208" s="199"/>
      <c r="CDG208" s="199"/>
      <c r="CDH208" s="199"/>
      <c r="CDI208" s="199"/>
      <c r="CDJ208" s="199"/>
      <c r="CDK208" s="199"/>
      <c r="CDL208" s="199"/>
      <c r="CDM208" s="199"/>
      <c r="CDN208" s="199"/>
      <c r="CDO208" s="199"/>
      <c r="CDP208" s="199"/>
      <c r="CDQ208" s="199"/>
      <c r="CDR208" s="199"/>
      <c r="CDS208" s="199"/>
      <c r="CDT208" s="199"/>
      <c r="CDU208" s="199"/>
      <c r="CDV208" s="199"/>
      <c r="CDW208" s="199"/>
      <c r="CDX208" s="199"/>
      <c r="CDY208" s="199"/>
      <c r="CDZ208" s="199"/>
      <c r="CEA208" s="199"/>
      <c r="CEB208" s="199"/>
      <c r="CEC208" s="199"/>
      <c r="CED208" s="199"/>
      <c r="CEE208" s="199"/>
      <c r="CEF208" s="199"/>
      <c r="CEG208" s="199"/>
      <c r="CEH208" s="199"/>
      <c r="CEI208" s="199"/>
      <c r="CEJ208" s="199"/>
      <c r="CEK208" s="199"/>
      <c r="CEL208" s="199"/>
      <c r="CEM208" s="199"/>
      <c r="CEN208" s="199"/>
      <c r="CEO208" s="199"/>
      <c r="CEP208" s="199"/>
      <c r="CEQ208" s="199"/>
      <c r="CER208" s="199"/>
      <c r="CES208" s="199"/>
      <c r="CET208" s="199"/>
      <c r="CEU208" s="199"/>
      <c r="CEV208" s="199"/>
      <c r="CEW208" s="199"/>
      <c r="CEX208" s="199"/>
      <c r="CEY208" s="199"/>
      <c r="CEZ208" s="199"/>
      <c r="CFA208" s="199"/>
      <c r="CFB208" s="199"/>
      <c r="CFC208" s="199"/>
      <c r="CFD208" s="199"/>
      <c r="CFE208" s="199"/>
      <c r="CFF208" s="199"/>
      <c r="CFG208" s="199"/>
      <c r="CFH208" s="199"/>
      <c r="CFI208" s="199"/>
      <c r="CFJ208" s="199"/>
      <c r="CFK208" s="199"/>
      <c r="CFL208" s="199"/>
      <c r="CFM208" s="199"/>
      <c r="CFN208" s="199"/>
      <c r="CFO208" s="199"/>
      <c r="CFP208" s="199"/>
      <c r="CFQ208" s="199"/>
      <c r="CFR208" s="199"/>
      <c r="CFS208" s="199"/>
      <c r="CFT208" s="199"/>
      <c r="CFU208" s="199"/>
      <c r="CFV208" s="199"/>
      <c r="CFW208" s="199"/>
      <c r="CFX208" s="199"/>
      <c r="CFY208" s="199"/>
      <c r="CFZ208" s="199"/>
      <c r="CGA208" s="199"/>
      <c r="CGB208" s="199"/>
      <c r="CGC208" s="199"/>
      <c r="CGD208" s="199"/>
      <c r="CGE208" s="199"/>
      <c r="CGF208" s="199"/>
      <c r="CGG208" s="199"/>
      <c r="CGH208" s="199"/>
      <c r="CGI208" s="199"/>
      <c r="CGJ208" s="199"/>
      <c r="CGK208" s="199"/>
      <c r="CGL208" s="199"/>
      <c r="CGM208" s="199"/>
      <c r="CGN208" s="199"/>
      <c r="CGO208" s="199"/>
      <c r="CGP208" s="199"/>
      <c r="CGQ208" s="199"/>
      <c r="CGR208" s="199"/>
      <c r="CGS208" s="199"/>
      <c r="CGT208" s="199"/>
      <c r="CGU208" s="199"/>
      <c r="CGV208" s="199"/>
      <c r="CGW208" s="199"/>
      <c r="CGX208" s="199"/>
      <c r="CGY208" s="199"/>
      <c r="CGZ208" s="199"/>
      <c r="CHA208" s="199"/>
      <c r="CHB208" s="199"/>
      <c r="CHC208" s="199"/>
      <c r="CHD208" s="199"/>
      <c r="CHE208" s="199"/>
      <c r="CHF208" s="199"/>
      <c r="CHG208" s="199"/>
      <c r="CHH208" s="199"/>
      <c r="CHI208" s="199"/>
      <c r="CHJ208" s="199"/>
      <c r="CHK208" s="199"/>
      <c r="CHL208" s="199"/>
      <c r="CHM208" s="199"/>
      <c r="CHN208" s="199"/>
      <c r="CHO208" s="199"/>
      <c r="CHP208" s="199"/>
      <c r="CHQ208" s="199"/>
      <c r="CHR208" s="199"/>
      <c r="CHS208" s="199"/>
      <c r="CHT208" s="199"/>
      <c r="CHU208" s="199"/>
      <c r="CHV208" s="199"/>
      <c r="CHW208" s="199"/>
      <c r="CHX208" s="199"/>
      <c r="CHY208" s="199"/>
      <c r="CHZ208" s="199"/>
      <c r="CIA208" s="199"/>
      <c r="CIB208" s="199"/>
      <c r="CIC208" s="199"/>
      <c r="CID208" s="199"/>
      <c r="CIE208" s="199"/>
      <c r="CIF208" s="199"/>
      <c r="CIG208" s="199"/>
      <c r="CIH208" s="199"/>
      <c r="CII208" s="199"/>
      <c r="CIJ208" s="199"/>
      <c r="CIK208" s="199"/>
      <c r="CIL208" s="199"/>
      <c r="CIM208" s="199"/>
      <c r="CIN208" s="199"/>
      <c r="CIO208" s="199"/>
      <c r="CIP208" s="199"/>
      <c r="CIQ208" s="199"/>
      <c r="CIR208" s="199"/>
      <c r="CIS208" s="199"/>
      <c r="CIT208" s="199"/>
      <c r="CIU208" s="199"/>
      <c r="CIV208" s="199"/>
      <c r="CIW208" s="199"/>
      <c r="CIX208" s="199"/>
      <c r="CIY208" s="199"/>
      <c r="CIZ208" s="199"/>
      <c r="CJA208" s="199"/>
      <c r="CJB208" s="199"/>
      <c r="CJC208" s="199"/>
      <c r="CJD208" s="199"/>
      <c r="CJE208" s="199"/>
      <c r="CJF208" s="199"/>
      <c r="CJG208" s="199"/>
      <c r="CJH208" s="199"/>
      <c r="CJI208" s="199"/>
      <c r="CJJ208" s="199"/>
      <c r="CJK208" s="199"/>
      <c r="CJL208" s="199"/>
      <c r="CJM208" s="199"/>
      <c r="CJN208" s="199"/>
      <c r="CJO208" s="199"/>
      <c r="CJP208" s="199"/>
      <c r="CJQ208" s="199"/>
      <c r="CJR208" s="199"/>
      <c r="CJS208" s="199"/>
      <c r="CJT208" s="199"/>
      <c r="CJU208" s="199"/>
      <c r="CJV208" s="199"/>
      <c r="CJW208" s="199"/>
      <c r="CJX208" s="199"/>
      <c r="CJY208" s="199"/>
      <c r="CJZ208" s="199"/>
      <c r="CKA208" s="199"/>
      <c r="CKB208" s="199"/>
      <c r="CKC208" s="199"/>
      <c r="CKD208" s="199"/>
      <c r="CKE208" s="199"/>
      <c r="CKF208" s="199"/>
      <c r="CKG208" s="199"/>
      <c r="CKH208" s="199"/>
      <c r="CKI208" s="199"/>
      <c r="CKJ208" s="199"/>
      <c r="CKK208" s="199"/>
      <c r="CKL208" s="199"/>
      <c r="CKM208" s="199"/>
      <c r="CKN208" s="199"/>
      <c r="CKO208" s="199"/>
      <c r="CKP208" s="199"/>
      <c r="CKQ208" s="199"/>
      <c r="CKR208" s="199"/>
      <c r="CKS208" s="199"/>
      <c r="CKT208" s="199"/>
      <c r="CKU208" s="199"/>
      <c r="CKV208" s="199"/>
      <c r="CKW208" s="199"/>
      <c r="CKX208" s="199"/>
      <c r="CKY208" s="199"/>
      <c r="CKZ208" s="199"/>
      <c r="CLA208" s="199"/>
      <c r="CLB208" s="199"/>
      <c r="CLC208" s="199"/>
      <c r="CLD208" s="199"/>
      <c r="CLE208" s="199"/>
      <c r="CLF208" s="199"/>
      <c r="CLG208" s="199"/>
      <c r="CLH208" s="199"/>
      <c r="CLI208" s="199"/>
      <c r="CLJ208" s="199"/>
      <c r="CLK208" s="199"/>
      <c r="CLL208" s="199"/>
      <c r="CLM208" s="199"/>
      <c r="CLN208" s="199"/>
      <c r="CLO208" s="199"/>
      <c r="CLP208" s="199"/>
      <c r="CLQ208" s="199"/>
      <c r="CLR208" s="199"/>
      <c r="CLS208" s="199"/>
      <c r="CLT208" s="199"/>
      <c r="CLU208" s="199"/>
      <c r="CLV208" s="199"/>
      <c r="CLW208" s="199"/>
      <c r="CLX208" s="199"/>
      <c r="CLY208" s="199"/>
      <c r="CLZ208" s="199"/>
      <c r="CMA208" s="199"/>
      <c r="CMB208" s="199"/>
      <c r="CMC208" s="199"/>
      <c r="CMD208" s="199"/>
      <c r="CME208" s="199"/>
      <c r="CMF208" s="199"/>
      <c r="CMG208" s="199"/>
      <c r="CMH208" s="199"/>
      <c r="CMI208" s="199"/>
      <c r="CMJ208" s="199"/>
      <c r="CMK208" s="199"/>
      <c r="CML208" s="199"/>
      <c r="CMM208" s="199"/>
      <c r="CMN208" s="199"/>
      <c r="CMO208" s="199"/>
      <c r="CMP208" s="199"/>
      <c r="CMQ208" s="199"/>
      <c r="CMR208" s="199"/>
      <c r="CMS208" s="199"/>
      <c r="CMT208" s="199"/>
      <c r="CMU208" s="199"/>
      <c r="CMV208" s="199"/>
      <c r="CMW208" s="199"/>
      <c r="CMX208" s="199"/>
      <c r="CMY208" s="199"/>
      <c r="CMZ208" s="199"/>
      <c r="CNA208" s="199"/>
      <c r="CNB208" s="199"/>
      <c r="CNC208" s="199"/>
      <c r="CND208" s="199"/>
      <c r="CNE208" s="199"/>
      <c r="CNF208" s="199"/>
      <c r="CNG208" s="199"/>
      <c r="CNH208" s="199"/>
      <c r="CNI208" s="199"/>
      <c r="CNJ208" s="199"/>
      <c r="CNK208" s="199"/>
      <c r="CNL208" s="199"/>
      <c r="CNM208" s="199"/>
      <c r="CNN208" s="199"/>
      <c r="CNO208" s="199"/>
      <c r="CNP208" s="199"/>
      <c r="CNQ208" s="199"/>
      <c r="CNR208" s="199"/>
      <c r="CNS208" s="199"/>
      <c r="CNT208" s="199"/>
      <c r="CNU208" s="199"/>
      <c r="CNV208" s="199"/>
      <c r="CNW208" s="199"/>
      <c r="CNX208" s="199"/>
      <c r="CNY208" s="199"/>
      <c r="CNZ208" s="199"/>
      <c r="COA208" s="199"/>
      <c r="COB208" s="199"/>
      <c r="COC208" s="199"/>
      <c r="COD208" s="199"/>
      <c r="COE208" s="199"/>
      <c r="COF208" s="199"/>
      <c r="COG208" s="199"/>
      <c r="COH208" s="199"/>
      <c r="COI208" s="199"/>
      <c r="COJ208" s="199"/>
      <c r="COK208" s="199"/>
      <c r="COL208" s="199"/>
      <c r="COM208" s="199"/>
      <c r="CON208" s="199"/>
      <c r="COO208" s="199"/>
      <c r="COP208" s="199"/>
      <c r="COQ208" s="199"/>
      <c r="COR208" s="199"/>
      <c r="COS208" s="199"/>
      <c r="COT208" s="199"/>
      <c r="COU208" s="199"/>
      <c r="COV208" s="199"/>
      <c r="COW208" s="199"/>
      <c r="COX208" s="199"/>
      <c r="COY208" s="199"/>
      <c r="COZ208" s="199"/>
      <c r="CPA208" s="199"/>
      <c r="CPB208" s="199"/>
      <c r="CPC208" s="199"/>
      <c r="CPD208" s="199"/>
      <c r="CPE208" s="199"/>
      <c r="CPF208" s="199"/>
      <c r="CPG208" s="199"/>
      <c r="CPH208" s="199"/>
      <c r="CPI208" s="199"/>
      <c r="CPJ208" s="199"/>
      <c r="CPK208" s="199"/>
      <c r="CPL208" s="199"/>
      <c r="CPM208" s="199"/>
      <c r="CPN208" s="199"/>
      <c r="CPO208" s="199"/>
      <c r="CPP208" s="199"/>
      <c r="CPQ208" s="199"/>
      <c r="CPR208" s="199"/>
      <c r="CPS208" s="199"/>
      <c r="CPT208" s="199"/>
      <c r="CPU208" s="199"/>
      <c r="CPV208" s="199"/>
      <c r="CPW208" s="199"/>
      <c r="CPX208" s="199"/>
      <c r="CPY208" s="199"/>
      <c r="CPZ208" s="199"/>
      <c r="CQA208" s="199"/>
      <c r="CQB208" s="199"/>
      <c r="CQC208" s="199"/>
      <c r="CQD208" s="199"/>
      <c r="CQE208" s="199"/>
      <c r="CQF208" s="199"/>
      <c r="CQG208" s="199"/>
      <c r="CQH208" s="199"/>
      <c r="CQI208" s="199"/>
      <c r="CQJ208" s="199"/>
      <c r="CQK208" s="199"/>
      <c r="CQL208" s="199"/>
      <c r="CQM208" s="199"/>
      <c r="CQN208" s="199"/>
      <c r="CQO208" s="199"/>
      <c r="CQP208" s="199"/>
      <c r="CQQ208" s="199"/>
      <c r="CQR208" s="199"/>
      <c r="CQS208" s="199"/>
      <c r="CQT208" s="199"/>
      <c r="CQU208" s="199"/>
      <c r="CQV208" s="199"/>
      <c r="CQW208" s="199"/>
      <c r="CQX208" s="199"/>
      <c r="CQY208" s="199"/>
      <c r="CQZ208" s="199"/>
      <c r="CRA208" s="199"/>
      <c r="CRB208" s="199"/>
      <c r="CRC208" s="199"/>
      <c r="CRD208" s="199"/>
      <c r="CRE208" s="199"/>
      <c r="CRF208" s="199"/>
      <c r="CRG208" s="199"/>
      <c r="CRH208" s="199"/>
      <c r="CRI208" s="199"/>
      <c r="CRJ208" s="199"/>
      <c r="CRK208" s="199"/>
      <c r="CRL208" s="199"/>
      <c r="CRM208" s="199"/>
      <c r="CRN208" s="199"/>
      <c r="CRO208" s="199"/>
      <c r="CRP208" s="199"/>
      <c r="CRQ208" s="199"/>
      <c r="CRR208" s="199"/>
      <c r="CRS208" s="199"/>
      <c r="CRT208" s="199"/>
      <c r="CRU208" s="199"/>
      <c r="CRV208" s="199"/>
      <c r="CRW208" s="199"/>
      <c r="CRX208" s="199"/>
      <c r="CRY208" s="199"/>
      <c r="CRZ208" s="199"/>
      <c r="CSA208" s="199"/>
      <c r="CSB208" s="199"/>
      <c r="CSC208" s="199"/>
      <c r="CSD208" s="199"/>
      <c r="CSE208" s="199"/>
      <c r="CSF208" s="199"/>
      <c r="CSG208" s="199"/>
      <c r="CSH208" s="199"/>
      <c r="CSI208" s="199"/>
      <c r="CSJ208" s="199"/>
      <c r="CSK208" s="199"/>
      <c r="CSL208" s="199"/>
      <c r="CSM208" s="199"/>
      <c r="CSN208" s="199"/>
      <c r="CSO208" s="199"/>
      <c r="CSP208" s="199"/>
      <c r="CSQ208" s="199"/>
      <c r="CSR208" s="199"/>
      <c r="CSS208" s="199"/>
      <c r="CST208" s="199"/>
      <c r="CSU208" s="199"/>
      <c r="CSV208" s="199"/>
      <c r="CSW208" s="199"/>
      <c r="CSX208" s="199"/>
      <c r="CSY208" s="199"/>
      <c r="CSZ208" s="199"/>
      <c r="CTA208" s="199"/>
      <c r="CTB208" s="199"/>
      <c r="CTC208" s="199"/>
      <c r="CTD208" s="199"/>
      <c r="CTE208" s="199"/>
      <c r="CTF208" s="199"/>
      <c r="CTG208" s="199"/>
      <c r="CTH208" s="199"/>
      <c r="CTI208" s="199"/>
      <c r="CTJ208" s="199"/>
      <c r="CTK208" s="199"/>
      <c r="CTL208" s="199"/>
      <c r="CTM208" s="199"/>
      <c r="CTN208" s="199"/>
      <c r="CTO208" s="199"/>
      <c r="CTP208" s="199"/>
      <c r="CTQ208" s="199"/>
      <c r="CTR208" s="199"/>
      <c r="CTS208" s="199"/>
      <c r="CTT208" s="199"/>
      <c r="CTU208" s="199"/>
      <c r="CTV208" s="199"/>
      <c r="CTW208" s="199"/>
      <c r="CTX208" s="199"/>
      <c r="CTY208" s="199"/>
      <c r="CTZ208" s="199"/>
      <c r="CUA208" s="199"/>
      <c r="CUB208" s="199"/>
      <c r="CUC208" s="199"/>
      <c r="CUD208" s="199"/>
      <c r="CUE208" s="199"/>
      <c r="CUF208" s="199"/>
      <c r="CUG208" s="199"/>
      <c r="CUH208" s="199"/>
      <c r="CUI208" s="199"/>
      <c r="CUJ208" s="199"/>
      <c r="CUK208" s="199"/>
      <c r="CUL208" s="199"/>
      <c r="CUM208" s="199"/>
      <c r="CUN208" s="199"/>
      <c r="CUO208" s="199"/>
      <c r="CUP208" s="199"/>
      <c r="CUQ208" s="199"/>
      <c r="CUR208" s="199"/>
      <c r="CUS208" s="199"/>
      <c r="CUT208" s="199"/>
      <c r="CUU208" s="199"/>
      <c r="CUV208" s="199"/>
      <c r="CUW208" s="199"/>
      <c r="CUX208" s="199"/>
      <c r="CUY208" s="199"/>
      <c r="CUZ208" s="199"/>
      <c r="CVA208" s="199"/>
      <c r="CVB208" s="199"/>
      <c r="CVC208" s="199"/>
      <c r="CVD208" s="199"/>
      <c r="CVE208" s="199"/>
      <c r="CVF208" s="199"/>
      <c r="CVG208" s="199"/>
      <c r="CVH208" s="199"/>
      <c r="CVI208" s="199"/>
      <c r="CVJ208" s="199"/>
      <c r="CVK208" s="199"/>
      <c r="CVL208" s="199"/>
      <c r="CVM208" s="199"/>
      <c r="CVN208" s="199"/>
      <c r="CVO208" s="199"/>
      <c r="CVP208" s="199"/>
      <c r="CVQ208" s="199"/>
      <c r="CVR208" s="199"/>
      <c r="CVS208" s="199"/>
      <c r="CVT208" s="199"/>
      <c r="CVU208" s="199"/>
      <c r="CVV208" s="199"/>
      <c r="CVW208" s="199"/>
      <c r="CVX208" s="199"/>
      <c r="CVY208" s="199"/>
      <c r="CVZ208" s="199"/>
      <c r="CWA208" s="199"/>
      <c r="CWB208" s="199"/>
      <c r="CWC208" s="199"/>
      <c r="CWD208" s="199"/>
      <c r="CWE208" s="199"/>
      <c r="CWF208" s="199"/>
      <c r="CWG208" s="199"/>
      <c r="CWH208" s="199"/>
      <c r="CWI208" s="199"/>
      <c r="CWJ208" s="199"/>
      <c r="CWK208" s="199"/>
      <c r="CWL208" s="199"/>
      <c r="CWM208" s="199"/>
      <c r="CWN208" s="199"/>
      <c r="CWO208" s="199"/>
      <c r="CWP208" s="199"/>
      <c r="CWQ208" s="199"/>
      <c r="CWR208" s="199"/>
      <c r="CWS208" s="199"/>
      <c r="CWT208" s="199"/>
      <c r="CWU208" s="199"/>
      <c r="CWV208" s="199"/>
      <c r="CWW208" s="199"/>
      <c r="CWX208" s="199"/>
      <c r="CWY208" s="199"/>
      <c r="CWZ208" s="199"/>
      <c r="CXA208" s="199"/>
      <c r="CXB208" s="199"/>
      <c r="CXC208" s="199"/>
      <c r="CXD208" s="199"/>
      <c r="CXE208" s="199"/>
      <c r="CXF208" s="199"/>
      <c r="CXG208" s="199"/>
      <c r="CXH208" s="199"/>
      <c r="CXI208" s="199"/>
      <c r="CXJ208" s="199"/>
      <c r="CXK208" s="199"/>
      <c r="CXL208" s="199"/>
      <c r="CXM208" s="199"/>
      <c r="CXN208" s="199"/>
      <c r="CXO208" s="199"/>
      <c r="CXP208" s="199"/>
      <c r="CXQ208" s="199"/>
      <c r="CXR208" s="199"/>
      <c r="CXS208" s="199"/>
      <c r="CXT208" s="199"/>
      <c r="CXU208" s="199"/>
      <c r="CXV208" s="199"/>
      <c r="CXW208" s="199"/>
      <c r="CXX208" s="199"/>
      <c r="CXY208" s="199"/>
      <c r="CXZ208" s="199"/>
      <c r="CYA208" s="199"/>
      <c r="CYB208" s="199"/>
      <c r="CYC208" s="199"/>
      <c r="CYD208" s="199"/>
      <c r="CYE208" s="199"/>
      <c r="CYF208" s="199"/>
      <c r="CYG208" s="199"/>
      <c r="CYH208" s="199"/>
      <c r="CYI208" s="199"/>
      <c r="CYJ208" s="199"/>
      <c r="CYK208" s="199"/>
      <c r="CYL208" s="199"/>
      <c r="CYM208" s="199"/>
      <c r="CYN208" s="199"/>
      <c r="CYO208" s="199"/>
      <c r="CYP208" s="199"/>
      <c r="CYQ208" s="199"/>
      <c r="CYR208" s="199"/>
      <c r="CYS208" s="199"/>
      <c r="CYT208" s="199"/>
      <c r="CYU208" s="199"/>
      <c r="CYV208" s="199"/>
      <c r="CYW208" s="199"/>
      <c r="CYX208" s="199"/>
      <c r="CYY208" s="199"/>
      <c r="CYZ208" s="199"/>
      <c r="CZA208" s="199"/>
      <c r="CZB208" s="199"/>
      <c r="CZC208" s="199"/>
      <c r="CZD208" s="199"/>
      <c r="CZE208" s="199"/>
      <c r="CZF208" s="199"/>
      <c r="CZG208" s="199"/>
      <c r="CZH208" s="199"/>
      <c r="CZI208" s="199"/>
      <c r="CZJ208" s="199"/>
      <c r="CZK208" s="199"/>
      <c r="CZL208" s="199"/>
      <c r="CZM208" s="199"/>
      <c r="CZN208" s="199"/>
      <c r="CZO208" s="199"/>
      <c r="CZP208" s="199"/>
      <c r="CZQ208" s="199"/>
      <c r="CZR208" s="199"/>
      <c r="CZS208" s="199"/>
      <c r="CZT208" s="199"/>
      <c r="CZU208" s="199"/>
      <c r="CZV208" s="199"/>
      <c r="CZW208" s="199"/>
      <c r="CZX208" s="199"/>
      <c r="CZY208" s="199"/>
      <c r="CZZ208" s="199"/>
      <c r="DAA208" s="199"/>
      <c r="DAB208" s="199"/>
      <c r="DAC208" s="199"/>
      <c r="DAD208" s="199"/>
      <c r="DAE208" s="199"/>
      <c r="DAF208" s="199"/>
      <c r="DAG208" s="199"/>
      <c r="DAH208" s="199"/>
      <c r="DAI208" s="199"/>
      <c r="DAJ208" s="199"/>
      <c r="DAK208" s="199"/>
      <c r="DAL208" s="199"/>
      <c r="DAM208" s="199"/>
      <c r="DAN208" s="199"/>
      <c r="DAO208" s="199"/>
      <c r="DAP208" s="199"/>
      <c r="DAQ208" s="199"/>
      <c r="DAR208" s="199"/>
      <c r="DAS208" s="199"/>
      <c r="DAT208" s="199"/>
      <c r="DAU208" s="199"/>
      <c r="DAV208" s="199"/>
      <c r="DAW208" s="199"/>
      <c r="DAX208" s="199"/>
      <c r="DAY208" s="199"/>
      <c r="DAZ208" s="199"/>
      <c r="DBA208" s="199"/>
      <c r="DBB208" s="199"/>
      <c r="DBC208" s="199"/>
      <c r="DBD208" s="199"/>
      <c r="DBE208" s="199"/>
      <c r="DBF208" s="199"/>
      <c r="DBG208" s="199"/>
      <c r="DBH208" s="199"/>
      <c r="DBI208" s="199"/>
      <c r="DBJ208" s="199"/>
      <c r="DBK208" s="199"/>
      <c r="DBL208" s="199"/>
      <c r="DBM208" s="199"/>
      <c r="DBN208" s="199"/>
      <c r="DBO208" s="199"/>
      <c r="DBP208" s="199"/>
      <c r="DBQ208" s="199"/>
      <c r="DBR208" s="199"/>
      <c r="DBS208" s="199"/>
      <c r="DBT208" s="199"/>
      <c r="DBU208" s="199"/>
      <c r="DBV208" s="199"/>
      <c r="DBW208" s="199"/>
      <c r="DBX208" s="199"/>
      <c r="DBY208" s="199"/>
      <c r="DBZ208" s="199"/>
      <c r="DCA208" s="199"/>
      <c r="DCB208" s="199"/>
      <c r="DCC208" s="199"/>
      <c r="DCD208" s="199"/>
      <c r="DCE208" s="199"/>
      <c r="DCF208" s="199"/>
      <c r="DCG208" s="199"/>
      <c r="DCH208" s="199"/>
      <c r="DCI208" s="199"/>
      <c r="DCJ208" s="199"/>
      <c r="DCK208" s="199"/>
      <c r="DCL208" s="199"/>
      <c r="DCM208" s="199"/>
      <c r="DCN208" s="199"/>
      <c r="DCO208" s="199"/>
      <c r="DCP208" s="199"/>
      <c r="DCQ208" s="199"/>
      <c r="DCR208" s="199"/>
      <c r="DCS208" s="199"/>
      <c r="DCT208" s="199"/>
      <c r="DCU208" s="199"/>
      <c r="DCV208" s="199"/>
      <c r="DCW208" s="199"/>
      <c r="DCX208" s="199"/>
      <c r="DCY208" s="199"/>
      <c r="DCZ208" s="199"/>
      <c r="DDA208" s="199"/>
      <c r="DDB208" s="199"/>
      <c r="DDC208" s="199"/>
      <c r="DDD208" s="199"/>
      <c r="DDE208" s="199"/>
      <c r="DDF208" s="199"/>
      <c r="DDG208" s="199"/>
      <c r="DDH208" s="199"/>
      <c r="DDI208" s="199"/>
      <c r="DDJ208" s="199"/>
      <c r="DDK208" s="199"/>
      <c r="DDL208" s="199"/>
      <c r="DDM208" s="199"/>
      <c r="DDN208" s="199"/>
      <c r="DDO208" s="199"/>
      <c r="DDP208" s="199"/>
      <c r="DDQ208" s="199"/>
      <c r="DDR208" s="199"/>
      <c r="DDS208" s="199"/>
      <c r="DDT208" s="199"/>
      <c r="DDU208" s="199"/>
      <c r="DDV208" s="199"/>
      <c r="DDW208" s="199"/>
      <c r="DDX208" s="199"/>
      <c r="DDY208" s="199"/>
      <c r="DDZ208" s="199"/>
      <c r="DEA208" s="199"/>
      <c r="DEB208" s="199"/>
      <c r="DEC208" s="199"/>
      <c r="DED208" s="199"/>
      <c r="DEE208" s="199"/>
      <c r="DEF208" s="199"/>
      <c r="DEG208" s="199"/>
      <c r="DEH208" s="199"/>
      <c r="DEI208" s="199"/>
      <c r="DEJ208" s="199"/>
      <c r="DEK208" s="199"/>
      <c r="DEL208" s="199"/>
      <c r="DEM208" s="199"/>
      <c r="DEN208" s="199"/>
      <c r="DEO208" s="199"/>
      <c r="DEP208" s="199"/>
      <c r="DEQ208" s="199"/>
      <c r="DER208" s="199"/>
      <c r="DES208" s="199"/>
      <c r="DET208" s="199"/>
      <c r="DEU208" s="199"/>
      <c r="DEV208" s="199"/>
      <c r="DEW208" s="199"/>
      <c r="DEX208" s="199"/>
      <c r="DEY208" s="199"/>
      <c r="DEZ208" s="199"/>
      <c r="DFA208" s="199"/>
      <c r="DFB208" s="199"/>
      <c r="DFC208" s="199"/>
      <c r="DFD208" s="199"/>
      <c r="DFE208" s="199"/>
      <c r="DFF208" s="199"/>
      <c r="DFG208" s="199"/>
      <c r="DFH208" s="199"/>
      <c r="DFI208" s="199"/>
      <c r="DFJ208" s="199"/>
      <c r="DFK208" s="199"/>
      <c r="DFL208" s="199"/>
      <c r="DFM208" s="199"/>
      <c r="DFN208" s="199"/>
      <c r="DFO208" s="199"/>
      <c r="DFP208" s="199"/>
      <c r="DFQ208" s="199"/>
      <c r="DFR208" s="199"/>
      <c r="DFS208" s="199"/>
      <c r="DFT208" s="199"/>
      <c r="DFU208" s="199"/>
      <c r="DFV208" s="199"/>
      <c r="DFW208" s="199"/>
      <c r="DFX208" s="199"/>
      <c r="DFY208" s="199"/>
      <c r="DFZ208" s="199"/>
      <c r="DGA208" s="199"/>
      <c r="DGB208" s="199"/>
      <c r="DGC208" s="199"/>
      <c r="DGD208" s="199"/>
      <c r="DGE208" s="199"/>
      <c r="DGF208" s="199"/>
      <c r="DGG208" s="199"/>
      <c r="DGH208" s="199"/>
      <c r="DGI208" s="199"/>
      <c r="DGJ208" s="199"/>
      <c r="DGK208" s="199"/>
      <c r="DGL208" s="199"/>
      <c r="DGM208" s="199"/>
      <c r="DGN208" s="199"/>
      <c r="DGO208" s="199"/>
      <c r="DGP208" s="199"/>
      <c r="DGQ208" s="199"/>
      <c r="DGR208" s="199"/>
      <c r="DGS208" s="199"/>
      <c r="DGT208" s="199"/>
      <c r="DGU208" s="199"/>
      <c r="DGV208" s="199"/>
      <c r="DGW208" s="199"/>
      <c r="DGX208" s="199"/>
      <c r="DGY208" s="199"/>
      <c r="DGZ208" s="199"/>
      <c r="DHA208" s="199"/>
      <c r="DHB208" s="199"/>
      <c r="DHC208" s="199"/>
      <c r="DHD208" s="199"/>
      <c r="DHE208" s="199"/>
      <c r="DHF208" s="199"/>
      <c r="DHG208" s="199"/>
      <c r="DHH208" s="199"/>
      <c r="DHI208" s="199"/>
      <c r="DHJ208" s="199"/>
      <c r="DHK208" s="199"/>
      <c r="DHL208" s="199"/>
      <c r="DHM208" s="199"/>
      <c r="DHN208" s="199"/>
      <c r="DHO208" s="199"/>
      <c r="DHP208" s="199"/>
      <c r="DHQ208" s="199"/>
      <c r="DHR208" s="199"/>
      <c r="DHS208" s="199"/>
      <c r="DHT208" s="199"/>
      <c r="DHU208" s="199"/>
      <c r="DHV208" s="199"/>
      <c r="DHW208" s="199"/>
      <c r="DHX208" s="199"/>
      <c r="DHY208" s="199"/>
      <c r="DHZ208" s="199"/>
      <c r="DIA208" s="199"/>
      <c r="DIB208" s="199"/>
      <c r="DIC208" s="199"/>
      <c r="DID208" s="199"/>
      <c r="DIE208" s="199"/>
      <c r="DIF208" s="199"/>
      <c r="DIG208" s="199"/>
      <c r="DIH208" s="199"/>
      <c r="DII208" s="199"/>
      <c r="DIJ208" s="199"/>
      <c r="DIK208" s="199"/>
      <c r="DIL208" s="199"/>
      <c r="DIM208" s="199"/>
      <c r="DIN208" s="199"/>
      <c r="DIO208" s="199"/>
      <c r="DIP208" s="199"/>
      <c r="DIQ208" s="199"/>
      <c r="DIR208" s="199"/>
      <c r="DIS208" s="199"/>
      <c r="DIT208" s="199"/>
      <c r="DIU208" s="199"/>
      <c r="DIV208" s="199"/>
      <c r="DIW208" s="199"/>
      <c r="DIX208" s="199"/>
      <c r="DIY208" s="199"/>
      <c r="DIZ208" s="199"/>
      <c r="DJA208" s="199"/>
      <c r="DJB208" s="199"/>
      <c r="DJC208" s="199"/>
      <c r="DJD208" s="199"/>
      <c r="DJE208" s="199"/>
      <c r="DJF208" s="199"/>
      <c r="DJG208" s="199"/>
      <c r="DJH208" s="199"/>
      <c r="DJI208" s="199"/>
      <c r="DJJ208" s="199"/>
      <c r="DJK208" s="199"/>
      <c r="DJL208" s="199"/>
      <c r="DJM208" s="199"/>
      <c r="DJN208" s="199"/>
      <c r="DJO208" s="199"/>
      <c r="DJP208" s="199"/>
      <c r="DJQ208" s="199"/>
      <c r="DJR208" s="199"/>
      <c r="DJS208" s="199"/>
      <c r="DJT208" s="199"/>
      <c r="DJU208" s="199"/>
      <c r="DJV208" s="199"/>
      <c r="DJW208" s="199"/>
      <c r="DJX208" s="199"/>
      <c r="DJY208" s="199"/>
      <c r="DJZ208" s="199"/>
      <c r="DKA208" s="199"/>
      <c r="DKB208" s="199"/>
      <c r="DKC208" s="199"/>
      <c r="DKD208" s="199"/>
      <c r="DKE208" s="199"/>
      <c r="DKF208" s="199"/>
      <c r="DKG208" s="199"/>
      <c r="DKH208" s="199"/>
      <c r="DKI208" s="199"/>
      <c r="DKJ208" s="199"/>
      <c r="DKK208" s="199"/>
      <c r="DKL208" s="199"/>
      <c r="DKM208" s="199"/>
      <c r="DKN208" s="199"/>
      <c r="DKO208" s="199"/>
      <c r="DKP208" s="199"/>
      <c r="DKQ208" s="199"/>
      <c r="DKR208" s="199"/>
      <c r="DKS208" s="199"/>
      <c r="DKT208" s="199"/>
      <c r="DKU208" s="199"/>
      <c r="DKV208" s="199"/>
      <c r="DKW208" s="199"/>
      <c r="DKX208" s="199"/>
      <c r="DKY208" s="199"/>
      <c r="DKZ208" s="199"/>
      <c r="DLA208" s="199"/>
      <c r="DLB208" s="199"/>
      <c r="DLC208" s="199"/>
      <c r="DLD208" s="199"/>
      <c r="DLE208" s="199"/>
      <c r="DLF208" s="199"/>
      <c r="DLG208" s="199"/>
      <c r="DLH208" s="199"/>
      <c r="DLI208" s="199"/>
      <c r="DLJ208" s="199"/>
      <c r="DLK208" s="199"/>
      <c r="DLL208" s="199"/>
      <c r="DLM208" s="199"/>
      <c r="DLN208" s="199"/>
      <c r="DLO208" s="199"/>
      <c r="DLP208" s="199"/>
      <c r="DLQ208" s="199"/>
      <c r="DLR208" s="199"/>
      <c r="DLS208" s="199"/>
      <c r="DLT208" s="199"/>
      <c r="DLU208" s="199"/>
      <c r="DLV208" s="199"/>
      <c r="DLW208" s="199"/>
      <c r="DLX208" s="199"/>
      <c r="DLY208" s="199"/>
      <c r="DLZ208" s="199"/>
      <c r="DMA208" s="199"/>
      <c r="DMB208" s="199"/>
      <c r="DMC208" s="199"/>
      <c r="DMD208" s="199"/>
      <c r="DME208" s="199"/>
      <c r="DMF208" s="199"/>
      <c r="DMG208" s="199"/>
      <c r="DMH208" s="199"/>
      <c r="DMI208" s="199"/>
      <c r="DMJ208" s="199"/>
      <c r="DMK208" s="199"/>
      <c r="DML208" s="199"/>
      <c r="DMM208" s="199"/>
      <c r="DMN208" s="199"/>
      <c r="DMO208" s="199"/>
      <c r="DMP208" s="199"/>
      <c r="DMQ208" s="199"/>
      <c r="DMR208" s="199"/>
      <c r="DMS208" s="199"/>
      <c r="DMT208" s="199"/>
      <c r="DMU208" s="199"/>
      <c r="DMV208" s="199"/>
      <c r="DMW208" s="199"/>
      <c r="DMX208" s="199"/>
      <c r="DMY208" s="199"/>
      <c r="DMZ208" s="199"/>
      <c r="DNA208" s="199"/>
      <c r="DNB208" s="199"/>
      <c r="DNC208" s="199"/>
      <c r="DND208" s="199"/>
      <c r="DNE208" s="199"/>
      <c r="DNF208" s="199"/>
      <c r="DNG208" s="199"/>
      <c r="DNH208" s="199"/>
      <c r="DNI208" s="199"/>
      <c r="DNJ208" s="199"/>
      <c r="DNK208" s="199"/>
      <c r="DNL208" s="199"/>
      <c r="DNM208" s="199"/>
      <c r="DNN208" s="199"/>
      <c r="DNO208" s="199"/>
      <c r="DNP208" s="199"/>
      <c r="DNQ208" s="199"/>
      <c r="DNR208" s="199"/>
      <c r="DNS208" s="199"/>
      <c r="DNT208" s="199"/>
      <c r="DNU208" s="199"/>
      <c r="DNV208" s="199"/>
      <c r="DNW208" s="199"/>
      <c r="DNX208" s="199"/>
      <c r="DNY208" s="199"/>
      <c r="DNZ208" s="199"/>
      <c r="DOA208" s="199"/>
      <c r="DOB208" s="199"/>
      <c r="DOC208" s="199"/>
      <c r="DOD208" s="199"/>
      <c r="DOE208" s="199"/>
      <c r="DOF208" s="199"/>
      <c r="DOG208" s="199"/>
      <c r="DOH208" s="199"/>
      <c r="DOI208" s="199"/>
      <c r="DOJ208" s="199"/>
      <c r="DOK208" s="199"/>
      <c r="DOL208" s="199"/>
      <c r="DOM208" s="199"/>
      <c r="DON208" s="199"/>
      <c r="DOO208" s="199"/>
      <c r="DOP208" s="199"/>
      <c r="DOQ208" s="199"/>
      <c r="DOR208" s="199"/>
      <c r="DOS208" s="199"/>
      <c r="DOT208" s="199"/>
      <c r="DOU208" s="199"/>
      <c r="DOV208" s="199"/>
      <c r="DOW208" s="199"/>
      <c r="DOX208" s="199"/>
      <c r="DOY208" s="199"/>
      <c r="DOZ208" s="199"/>
      <c r="DPA208" s="199"/>
      <c r="DPB208" s="199"/>
      <c r="DPC208" s="199"/>
      <c r="DPD208" s="199"/>
      <c r="DPE208" s="199"/>
      <c r="DPF208" s="199"/>
      <c r="DPG208" s="199"/>
      <c r="DPH208" s="199"/>
      <c r="DPI208" s="199"/>
      <c r="DPJ208" s="199"/>
      <c r="DPK208" s="199"/>
      <c r="DPL208" s="199"/>
      <c r="DPM208" s="199"/>
      <c r="DPN208" s="199"/>
      <c r="DPO208" s="199"/>
      <c r="DPP208" s="199"/>
      <c r="DPQ208" s="199"/>
      <c r="DPR208" s="199"/>
      <c r="DPS208" s="199"/>
      <c r="DPT208" s="199"/>
      <c r="DPU208" s="199"/>
      <c r="DPV208" s="199"/>
      <c r="DPW208" s="199"/>
      <c r="DPX208" s="199"/>
      <c r="DPY208" s="199"/>
      <c r="DPZ208" s="199"/>
      <c r="DQA208" s="199"/>
      <c r="DQB208" s="199"/>
      <c r="DQC208" s="199"/>
      <c r="DQD208" s="199"/>
      <c r="DQE208" s="199"/>
      <c r="DQF208" s="199"/>
      <c r="DQG208" s="199"/>
      <c r="DQH208" s="199"/>
      <c r="DQI208" s="199"/>
      <c r="DQJ208" s="199"/>
      <c r="DQK208" s="199"/>
      <c r="DQL208" s="199"/>
      <c r="DQM208" s="199"/>
      <c r="DQN208" s="199"/>
      <c r="DQO208" s="199"/>
      <c r="DQP208" s="199"/>
      <c r="DQQ208" s="199"/>
      <c r="DQR208" s="199"/>
      <c r="DQS208" s="199"/>
      <c r="DQT208" s="199"/>
      <c r="DQU208" s="199"/>
      <c r="DQV208" s="199"/>
      <c r="DQW208" s="199"/>
      <c r="DQX208" s="199"/>
      <c r="DQY208" s="199"/>
      <c r="DQZ208" s="199"/>
      <c r="DRA208" s="199"/>
      <c r="DRB208" s="199"/>
      <c r="DRC208" s="199"/>
      <c r="DRD208" s="199"/>
      <c r="DRE208" s="199"/>
      <c r="DRF208" s="199"/>
      <c r="DRG208" s="199"/>
      <c r="DRH208" s="199"/>
      <c r="DRI208" s="199"/>
      <c r="DRJ208" s="199"/>
      <c r="DRK208" s="199"/>
      <c r="DRL208" s="199"/>
      <c r="DRM208" s="199"/>
      <c r="DRN208" s="199"/>
      <c r="DRO208" s="199"/>
      <c r="DRP208" s="199"/>
      <c r="DRQ208" s="199"/>
      <c r="DRR208" s="199"/>
      <c r="DRS208" s="199"/>
      <c r="DRT208" s="199"/>
      <c r="DRU208" s="199"/>
      <c r="DRV208" s="199"/>
      <c r="DRW208" s="199"/>
      <c r="DRX208" s="199"/>
      <c r="DRY208" s="199"/>
      <c r="DRZ208" s="199"/>
      <c r="DSA208" s="199"/>
      <c r="DSB208" s="199"/>
      <c r="DSC208" s="199"/>
      <c r="DSD208" s="199"/>
      <c r="DSE208" s="199"/>
      <c r="DSF208" s="199"/>
      <c r="DSG208" s="199"/>
      <c r="DSH208" s="199"/>
      <c r="DSI208" s="199"/>
      <c r="DSJ208" s="199"/>
      <c r="DSK208" s="199"/>
      <c r="DSL208" s="199"/>
      <c r="DSM208" s="199"/>
      <c r="DSN208" s="199"/>
      <c r="DSO208" s="199"/>
      <c r="DSP208" s="199"/>
      <c r="DSQ208" s="199"/>
      <c r="DSR208" s="199"/>
      <c r="DSS208" s="199"/>
      <c r="DST208" s="199"/>
      <c r="DSU208" s="199"/>
      <c r="DSV208" s="199"/>
      <c r="DSW208" s="199"/>
      <c r="DSX208" s="199"/>
      <c r="DSY208" s="199"/>
      <c r="DSZ208" s="199"/>
      <c r="DTA208" s="199"/>
      <c r="DTB208" s="199"/>
      <c r="DTC208" s="199"/>
      <c r="DTD208" s="199"/>
      <c r="DTE208" s="199"/>
      <c r="DTF208" s="199"/>
      <c r="DTG208" s="199"/>
      <c r="DTH208" s="199"/>
      <c r="DTI208" s="199"/>
      <c r="DTJ208" s="199"/>
      <c r="DTK208" s="199"/>
      <c r="DTL208" s="199"/>
      <c r="DTM208" s="199"/>
      <c r="DTN208" s="199"/>
      <c r="DTO208" s="199"/>
      <c r="DTP208" s="199"/>
      <c r="DTQ208" s="199"/>
      <c r="DTR208" s="199"/>
      <c r="DTS208" s="199"/>
      <c r="DTT208" s="199"/>
      <c r="DTU208" s="199"/>
      <c r="DTV208" s="199"/>
      <c r="DTW208" s="199"/>
      <c r="DTX208" s="199"/>
      <c r="DTY208" s="199"/>
      <c r="DTZ208" s="199"/>
      <c r="DUA208" s="199"/>
      <c r="DUB208" s="199"/>
      <c r="DUC208" s="199"/>
      <c r="DUD208" s="199"/>
      <c r="DUE208" s="199"/>
      <c r="DUF208" s="199"/>
      <c r="DUG208" s="199"/>
      <c r="DUH208" s="199"/>
      <c r="DUI208" s="199"/>
      <c r="DUJ208" s="199"/>
      <c r="DUK208" s="199"/>
      <c r="DUL208" s="199"/>
      <c r="DUM208" s="199"/>
      <c r="DUN208" s="199"/>
      <c r="DUO208" s="199"/>
      <c r="DUP208" s="199"/>
      <c r="DUQ208" s="199"/>
      <c r="DUR208" s="199"/>
      <c r="DUS208" s="199"/>
      <c r="DUT208" s="199"/>
      <c r="DUU208" s="199"/>
      <c r="DUV208" s="199"/>
      <c r="DUW208" s="199"/>
      <c r="DUX208" s="199"/>
      <c r="DUY208" s="199"/>
      <c r="DUZ208" s="199"/>
      <c r="DVA208" s="199"/>
      <c r="DVB208" s="199"/>
      <c r="DVC208" s="199"/>
      <c r="DVD208" s="199"/>
      <c r="DVE208" s="199"/>
      <c r="DVF208" s="199"/>
      <c r="DVG208" s="199"/>
      <c r="DVH208" s="199"/>
      <c r="DVI208" s="199"/>
      <c r="DVJ208" s="199"/>
      <c r="DVK208" s="199"/>
      <c r="DVL208" s="199"/>
      <c r="DVM208" s="199"/>
      <c r="DVN208" s="199"/>
      <c r="DVO208" s="199"/>
      <c r="DVP208" s="199"/>
      <c r="DVQ208" s="199"/>
      <c r="DVR208" s="199"/>
      <c r="DVS208" s="199"/>
      <c r="DVT208" s="199"/>
      <c r="DVU208" s="199"/>
      <c r="DVV208" s="199"/>
      <c r="DVW208" s="199"/>
      <c r="DVX208" s="199"/>
      <c r="DVY208" s="199"/>
      <c r="DVZ208" s="199"/>
      <c r="DWA208" s="199"/>
      <c r="DWB208" s="199"/>
      <c r="DWC208" s="199"/>
      <c r="DWD208" s="199"/>
      <c r="DWE208" s="199"/>
      <c r="DWF208" s="199"/>
      <c r="DWG208" s="199"/>
      <c r="DWH208" s="199"/>
      <c r="DWI208" s="199"/>
      <c r="DWJ208" s="199"/>
      <c r="DWK208" s="199"/>
      <c r="DWL208" s="199"/>
      <c r="DWM208" s="199"/>
      <c r="DWN208" s="199"/>
      <c r="DWO208" s="199"/>
      <c r="DWP208" s="199"/>
      <c r="DWQ208" s="199"/>
      <c r="DWR208" s="199"/>
      <c r="DWS208" s="199"/>
      <c r="DWT208" s="199"/>
      <c r="DWU208" s="199"/>
      <c r="DWV208" s="199"/>
      <c r="DWW208" s="199"/>
      <c r="DWX208" s="199"/>
      <c r="DWY208" s="199"/>
      <c r="DWZ208" s="199"/>
      <c r="DXA208" s="199"/>
      <c r="DXB208" s="199"/>
      <c r="DXC208" s="199"/>
      <c r="DXD208" s="199"/>
      <c r="DXE208" s="199"/>
      <c r="DXF208" s="199"/>
      <c r="DXG208" s="199"/>
      <c r="DXH208" s="199"/>
      <c r="DXI208" s="199"/>
      <c r="DXJ208" s="199"/>
      <c r="DXK208" s="199"/>
      <c r="DXL208" s="199"/>
      <c r="DXM208" s="199"/>
      <c r="DXN208" s="199"/>
      <c r="DXO208" s="199"/>
      <c r="DXP208" s="199"/>
      <c r="DXQ208" s="199"/>
      <c r="DXR208" s="199"/>
      <c r="DXS208" s="199"/>
      <c r="DXT208" s="199"/>
      <c r="DXU208" s="199"/>
      <c r="DXV208" s="199"/>
      <c r="DXW208" s="199"/>
      <c r="DXX208" s="199"/>
      <c r="DXY208" s="199"/>
      <c r="DXZ208" s="199"/>
      <c r="DYA208" s="199"/>
      <c r="DYB208" s="199"/>
      <c r="DYC208" s="199"/>
      <c r="DYD208" s="199"/>
      <c r="DYE208" s="199"/>
      <c r="DYF208" s="199"/>
      <c r="DYG208" s="199"/>
      <c r="DYH208" s="199"/>
      <c r="DYI208" s="199"/>
      <c r="DYJ208" s="199"/>
      <c r="DYK208" s="199"/>
      <c r="DYL208" s="199"/>
      <c r="DYM208" s="199"/>
      <c r="DYN208" s="199"/>
      <c r="DYO208" s="199"/>
      <c r="DYP208" s="199"/>
      <c r="DYQ208" s="199"/>
      <c r="DYR208" s="199"/>
      <c r="DYS208" s="199"/>
      <c r="DYT208" s="199"/>
      <c r="DYU208" s="199"/>
      <c r="DYV208" s="199"/>
      <c r="DYW208" s="199"/>
      <c r="DYX208" s="199"/>
      <c r="DYY208" s="199"/>
      <c r="DYZ208" s="199"/>
      <c r="DZA208" s="199"/>
      <c r="DZB208" s="199"/>
      <c r="DZC208" s="199"/>
      <c r="DZD208" s="199"/>
      <c r="DZE208" s="199"/>
      <c r="DZF208" s="199"/>
      <c r="DZG208" s="199"/>
      <c r="DZH208" s="199"/>
      <c r="DZI208" s="199"/>
      <c r="DZJ208" s="199"/>
      <c r="DZK208" s="199"/>
      <c r="DZL208" s="199"/>
      <c r="DZM208" s="199"/>
      <c r="DZN208" s="199"/>
      <c r="DZO208" s="199"/>
      <c r="DZP208" s="199"/>
      <c r="DZQ208" s="199"/>
      <c r="DZR208" s="199"/>
      <c r="DZS208" s="199"/>
      <c r="DZT208" s="199"/>
      <c r="DZU208" s="199"/>
      <c r="DZV208" s="199"/>
      <c r="DZW208" s="199"/>
      <c r="DZX208" s="199"/>
      <c r="DZY208" s="199"/>
      <c r="DZZ208" s="199"/>
      <c r="EAA208" s="199"/>
      <c r="EAB208" s="199"/>
      <c r="EAC208" s="199"/>
      <c r="EAD208" s="199"/>
      <c r="EAE208" s="199"/>
      <c r="EAF208" s="199"/>
      <c r="EAG208" s="199"/>
      <c r="EAH208" s="199"/>
      <c r="EAI208" s="199"/>
      <c r="EAJ208" s="199"/>
      <c r="EAK208" s="199"/>
      <c r="EAL208" s="199"/>
      <c r="EAM208" s="199"/>
      <c r="EAN208" s="199"/>
      <c r="EAO208" s="199"/>
      <c r="EAP208" s="199"/>
      <c r="EAQ208" s="199"/>
      <c r="EAR208" s="199"/>
      <c r="EAS208" s="199"/>
      <c r="EAT208" s="199"/>
      <c r="EAU208" s="199"/>
      <c r="EAV208" s="199"/>
      <c r="EAW208" s="199"/>
      <c r="EAX208" s="199"/>
      <c r="EAY208" s="199"/>
      <c r="EAZ208" s="199"/>
      <c r="EBA208" s="199"/>
      <c r="EBB208" s="199"/>
      <c r="EBC208" s="199"/>
      <c r="EBD208" s="199"/>
      <c r="EBE208" s="199"/>
      <c r="EBF208" s="199"/>
      <c r="EBG208" s="199"/>
      <c r="EBH208" s="199"/>
      <c r="EBI208" s="199"/>
      <c r="EBJ208" s="199"/>
      <c r="EBK208" s="199"/>
      <c r="EBL208" s="199"/>
      <c r="EBM208" s="199"/>
      <c r="EBN208" s="199"/>
      <c r="EBO208" s="199"/>
      <c r="EBP208" s="199"/>
      <c r="EBQ208" s="199"/>
      <c r="EBR208" s="199"/>
      <c r="EBS208" s="199"/>
      <c r="EBT208" s="199"/>
      <c r="EBU208" s="199"/>
      <c r="EBV208" s="199"/>
      <c r="EBW208" s="199"/>
      <c r="EBX208" s="199"/>
      <c r="EBY208" s="199"/>
      <c r="EBZ208" s="199"/>
      <c r="ECA208" s="199"/>
      <c r="ECB208" s="199"/>
      <c r="ECC208" s="199"/>
      <c r="ECD208" s="199"/>
      <c r="ECE208" s="199"/>
      <c r="ECF208" s="199"/>
      <c r="ECG208" s="199"/>
      <c r="ECH208" s="199"/>
      <c r="ECI208" s="199"/>
      <c r="ECJ208" s="199"/>
      <c r="ECK208" s="199"/>
      <c r="ECL208" s="199"/>
      <c r="ECM208" s="199"/>
      <c r="ECN208" s="199"/>
      <c r="ECO208" s="199"/>
      <c r="ECP208" s="199"/>
      <c r="ECQ208" s="199"/>
      <c r="ECR208" s="199"/>
      <c r="ECS208" s="199"/>
      <c r="ECT208" s="199"/>
      <c r="ECU208" s="199"/>
      <c r="ECV208" s="199"/>
      <c r="ECW208" s="199"/>
      <c r="ECX208" s="199"/>
      <c r="ECY208" s="199"/>
      <c r="ECZ208" s="199"/>
      <c r="EDA208" s="199"/>
      <c r="EDB208" s="199"/>
      <c r="EDC208" s="199"/>
      <c r="EDD208" s="199"/>
      <c r="EDE208" s="199"/>
      <c r="EDF208" s="199"/>
      <c r="EDG208" s="199"/>
      <c r="EDH208" s="199"/>
      <c r="EDI208" s="199"/>
      <c r="EDJ208" s="199"/>
      <c r="EDK208" s="199"/>
      <c r="EDL208" s="199"/>
      <c r="EDM208" s="199"/>
      <c r="EDN208" s="199"/>
      <c r="EDO208" s="199"/>
      <c r="EDP208" s="199"/>
      <c r="EDQ208" s="199"/>
      <c r="EDR208" s="199"/>
      <c r="EDS208" s="199"/>
      <c r="EDT208" s="199"/>
      <c r="EDU208" s="199"/>
      <c r="EDV208" s="199"/>
      <c r="EDW208" s="199"/>
      <c r="EDX208" s="199"/>
      <c r="EDY208" s="199"/>
      <c r="EDZ208" s="199"/>
      <c r="EEA208" s="199"/>
      <c r="EEB208" s="199"/>
      <c r="EEC208" s="199"/>
      <c r="EED208" s="199"/>
      <c r="EEE208" s="199"/>
      <c r="EEF208" s="199"/>
      <c r="EEG208" s="199"/>
      <c r="EEH208" s="199"/>
      <c r="EEI208" s="199"/>
      <c r="EEJ208" s="199"/>
      <c r="EEK208" s="199"/>
      <c r="EEL208" s="199"/>
      <c r="EEM208" s="199"/>
      <c r="EEN208" s="199"/>
      <c r="EEO208" s="199"/>
      <c r="EEP208" s="199"/>
      <c r="EEQ208" s="199"/>
      <c r="EER208" s="199"/>
      <c r="EES208" s="199"/>
      <c r="EET208" s="199"/>
      <c r="EEU208" s="199"/>
      <c r="EEV208" s="199"/>
      <c r="EEW208" s="199"/>
      <c r="EEX208" s="199"/>
      <c r="EEY208" s="199"/>
      <c r="EEZ208" s="199"/>
      <c r="EFA208" s="199"/>
      <c r="EFB208" s="199"/>
      <c r="EFC208" s="199"/>
      <c r="EFD208" s="199"/>
      <c r="EFE208" s="199"/>
      <c r="EFF208" s="199"/>
      <c r="EFG208" s="199"/>
      <c r="EFH208" s="199"/>
      <c r="EFI208" s="199"/>
      <c r="EFJ208" s="199"/>
      <c r="EFK208" s="199"/>
      <c r="EFL208" s="199"/>
      <c r="EFM208" s="199"/>
      <c r="EFN208" s="199"/>
      <c r="EFO208" s="199"/>
      <c r="EFP208" s="199"/>
      <c r="EFQ208" s="199"/>
      <c r="EFR208" s="199"/>
      <c r="EFS208" s="199"/>
      <c r="EFT208" s="199"/>
      <c r="EFU208" s="199"/>
      <c r="EFV208" s="199"/>
      <c r="EFW208" s="199"/>
      <c r="EFX208" s="199"/>
      <c r="EFY208" s="199"/>
      <c r="EFZ208" s="199"/>
      <c r="EGA208" s="199"/>
      <c r="EGB208" s="199"/>
      <c r="EGC208" s="199"/>
      <c r="EGD208" s="199"/>
      <c r="EGE208" s="199"/>
      <c r="EGF208" s="199"/>
      <c r="EGG208" s="199"/>
      <c r="EGH208" s="199"/>
      <c r="EGI208" s="199"/>
      <c r="EGJ208" s="199"/>
      <c r="EGK208" s="199"/>
      <c r="EGL208" s="199"/>
      <c r="EGM208" s="199"/>
      <c r="EGN208" s="199"/>
      <c r="EGO208" s="199"/>
      <c r="EGP208" s="199"/>
      <c r="EGQ208" s="199"/>
      <c r="EGR208" s="199"/>
      <c r="EGS208" s="199"/>
      <c r="EGT208" s="199"/>
      <c r="EGU208" s="199"/>
      <c r="EGV208" s="199"/>
      <c r="EGW208" s="199"/>
      <c r="EGX208" s="199"/>
      <c r="EGY208" s="199"/>
      <c r="EGZ208" s="199"/>
      <c r="EHA208" s="199"/>
      <c r="EHB208" s="199"/>
      <c r="EHC208" s="199"/>
      <c r="EHD208" s="199"/>
      <c r="EHE208" s="199"/>
      <c r="EHF208" s="199"/>
      <c r="EHG208" s="199"/>
      <c r="EHH208" s="199"/>
      <c r="EHI208" s="199"/>
      <c r="EHJ208" s="199"/>
      <c r="EHK208" s="199"/>
      <c r="EHL208" s="199"/>
      <c r="EHM208" s="199"/>
      <c r="EHN208" s="199"/>
      <c r="EHO208" s="199"/>
      <c r="EHP208" s="199"/>
      <c r="EHQ208" s="199"/>
      <c r="EHR208" s="199"/>
      <c r="EHS208" s="199"/>
      <c r="EHT208" s="199"/>
      <c r="EHU208" s="199"/>
      <c r="EHV208" s="199"/>
      <c r="EHW208" s="199"/>
      <c r="EHX208" s="199"/>
      <c r="EHY208" s="199"/>
      <c r="EHZ208" s="199"/>
      <c r="EIA208" s="199"/>
      <c r="EIB208" s="199"/>
      <c r="EIC208" s="199"/>
      <c r="EID208" s="199"/>
      <c r="EIE208" s="199"/>
      <c r="EIF208" s="199"/>
      <c r="EIG208" s="199"/>
      <c r="EIH208" s="199"/>
      <c r="EII208" s="199"/>
      <c r="EIJ208" s="199"/>
      <c r="EIK208" s="199"/>
      <c r="EIL208" s="199"/>
      <c r="EIM208" s="199"/>
      <c r="EIN208" s="199"/>
      <c r="EIO208" s="199"/>
      <c r="EIP208" s="199"/>
      <c r="EIQ208" s="199"/>
      <c r="EIR208" s="199"/>
      <c r="EIS208" s="199"/>
      <c r="EIT208" s="199"/>
      <c r="EIU208" s="199"/>
      <c r="EIV208" s="199"/>
      <c r="EIW208" s="199"/>
      <c r="EIX208" s="199"/>
      <c r="EIY208" s="199"/>
      <c r="EIZ208" s="199"/>
      <c r="EJA208" s="199"/>
      <c r="EJB208" s="199"/>
      <c r="EJC208" s="199"/>
      <c r="EJD208" s="199"/>
      <c r="EJE208" s="199"/>
      <c r="EJF208" s="199"/>
      <c r="EJG208" s="199"/>
      <c r="EJH208" s="199"/>
      <c r="EJI208" s="199"/>
      <c r="EJJ208" s="199"/>
      <c r="EJK208" s="199"/>
      <c r="EJL208" s="199"/>
      <c r="EJM208" s="199"/>
      <c r="EJN208" s="199"/>
      <c r="EJO208" s="199"/>
      <c r="EJP208" s="199"/>
      <c r="EJQ208" s="199"/>
      <c r="EJR208" s="199"/>
      <c r="EJS208" s="199"/>
      <c r="EJT208" s="199"/>
      <c r="EJU208" s="199"/>
      <c r="EJV208" s="199"/>
      <c r="EJW208" s="199"/>
      <c r="EJX208" s="199"/>
      <c r="EJY208" s="199"/>
      <c r="EJZ208" s="199"/>
      <c r="EKA208" s="199"/>
      <c r="EKB208" s="199"/>
      <c r="EKC208" s="199"/>
      <c r="EKD208" s="199"/>
      <c r="EKE208" s="199"/>
      <c r="EKF208" s="199"/>
      <c r="EKG208" s="199"/>
      <c r="EKH208" s="199"/>
      <c r="EKI208" s="199"/>
      <c r="EKJ208" s="199"/>
      <c r="EKK208" s="199"/>
      <c r="EKL208" s="199"/>
      <c r="EKM208" s="199"/>
      <c r="EKN208" s="199"/>
      <c r="EKO208" s="199"/>
      <c r="EKP208" s="199"/>
      <c r="EKQ208" s="199"/>
      <c r="EKR208" s="199"/>
      <c r="EKS208" s="199"/>
      <c r="EKT208" s="199"/>
      <c r="EKU208" s="199"/>
      <c r="EKV208" s="199"/>
      <c r="EKW208" s="199"/>
      <c r="EKX208" s="199"/>
      <c r="EKY208" s="199"/>
      <c r="EKZ208" s="199"/>
      <c r="ELA208" s="199"/>
      <c r="ELB208" s="199"/>
      <c r="ELC208" s="199"/>
      <c r="ELD208" s="199"/>
      <c r="ELE208" s="199"/>
      <c r="ELF208" s="199"/>
      <c r="ELG208" s="199"/>
      <c r="ELH208" s="199"/>
      <c r="ELI208" s="199"/>
      <c r="ELJ208" s="199"/>
      <c r="ELK208" s="199"/>
      <c r="ELL208" s="199"/>
      <c r="ELM208" s="199"/>
      <c r="ELN208" s="199"/>
      <c r="ELO208" s="199"/>
      <c r="ELP208" s="199"/>
      <c r="ELQ208" s="199"/>
      <c r="ELR208" s="199"/>
      <c r="ELS208" s="199"/>
      <c r="ELT208" s="199"/>
      <c r="ELU208" s="199"/>
      <c r="ELV208" s="199"/>
      <c r="ELW208" s="199"/>
      <c r="ELX208" s="199"/>
      <c r="ELY208" s="199"/>
      <c r="ELZ208" s="199"/>
      <c r="EMA208" s="199"/>
      <c r="EMB208" s="199"/>
      <c r="EMC208" s="199"/>
      <c r="EMD208" s="199"/>
      <c r="EME208" s="199"/>
      <c r="EMF208" s="199"/>
      <c r="EMG208" s="199"/>
      <c r="EMH208" s="199"/>
      <c r="EMI208" s="199"/>
      <c r="EMJ208" s="199"/>
      <c r="EMK208" s="199"/>
      <c r="EML208" s="199"/>
      <c r="EMM208" s="199"/>
      <c r="EMN208" s="199"/>
      <c r="EMO208" s="199"/>
      <c r="EMP208" s="199"/>
      <c r="EMQ208" s="199"/>
      <c r="EMR208" s="199"/>
      <c r="EMS208" s="199"/>
      <c r="EMT208" s="199"/>
      <c r="EMU208" s="199"/>
      <c r="EMV208" s="199"/>
      <c r="EMW208" s="199"/>
      <c r="EMX208" s="199"/>
      <c r="EMY208" s="199"/>
      <c r="EMZ208" s="199"/>
      <c r="ENA208" s="199"/>
      <c r="ENB208" s="199"/>
      <c r="ENC208" s="199"/>
      <c r="END208" s="199"/>
      <c r="ENE208" s="199"/>
      <c r="ENF208" s="199"/>
      <c r="ENG208" s="199"/>
      <c r="ENH208" s="199"/>
      <c r="ENI208" s="199"/>
      <c r="ENJ208" s="199"/>
      <c r="ENK208" s="199"/>
      <c r="ENL208" s="199"/>
      <c r="ENM208" s="199"/>
      <c r="ENN208" s="199"/>
      <c r="ENO208" s="199"/>
      <c r="ENP208" s="199"/>
      <c r="ENQ208" s="199"/>
      <c r="ENR208" s="199"/>
      <c r="ENS208" s="199"/>
      <c r="ENT208" s="199"/>
      <c r="ENU208" s="199"/>
      <c r="ENV208" s="199"/>
      <c r="ENW208" s="199"/>
      <c r="ENX208" s="199"/>
      <c r="ENY208" s="199"/>
      <c r="ENZ208" s="199"/>
      <c r="EOA208" s="199"/>
      <c r="EOB208" s="199"/>
      <c r="EOC208" s="199"/>
      <c r="EOD208" s="199"/>
      <c r="EOE208" s="199"/>
      <c r="EOF208" s="199"/>
      <c r="EOG208" s="199"/>
      <c r="EOH208" s="199"/>
      <c r="EOI208" s="199"/>
      <c r="EOJ208" s="199"/>
      <c r="EOK208" s="199"/>
      <c r="EOL208" s="199"/>
      <c r="EOM208" s="199"/>
      <c r="EON208" s="199"/>
      <c r="EOO208" s="199"/>
      <c r="EOP208" s="199"/>
      <c r="EOQ208" s="199"/>
      <c r="EOR208" s="199"/>
      <c r="EOS208" s="199"/>
      <c r="EOT208" s="199"/>
      <c r="EOU208" s="199"/>
      <c r="EOV208" s="199"/>
      <c r="EOW208" s="199"/>
      <c r="EOX208" s="199"/>
      <c r="EOY208" s="199"/>
      <c r="EOZ208" s="199"/>
      <c r="EPA208" s="199"/>
      <c r="EPB208" s="199"/>
      <c r="EPC208" s="199"/>
      <c r="EPD208" s="199"/>
      <c r="EPE208" s="199"/>
      <c r="EPF208" s="199"/>
      <c r="EPG208" s="199"/>
      <c r="EPH208" s="199"/>
      <c r="EPI208" s="199"/>
      <c r="EPJ208" s="199"/>
      <c r="EPK208" s="199"/>
      <c r="EPL208" s="199"/>
      <c r="EPM208" s="199"/>
      <c r="EPN208" s="199"/>
      <c r="EPO208" s="199"/>
      <c r="EPP208" s="199"/>
      <c r="EPQ208" s="199"/>
      <c r="EPR208" s="199"/>
      <c r="EPS208" s="199"/>
      <c r="EPT208" s="199"/>
      <c r="EPU208" s="199"/>
      <c r="EPV208" s="199"/>
      <c r="EPW208" s="199"/>
      <c r="EPX208" s="199"/>
      <c r="EPY208" s="199"/>
      <c r="EPZ208" s="199"/>
      <c r="EQA208" s="199"/>
      <c r="EQB208" s="199"/>
      <c r="EQC208" s="199"/>
      <c r="EQD208" s="199"/>
      <c r="EQE208" s="199"/>
      <c r="EQF208" s="199"/>
      <c r="EQG208" s="199"/>
      <c r="EQH208" s="199"/>
      <c r="EQI208" s="199"/>
      <c r="EQJ208" s="199"/>
      <c r="EQK208" s="199"/>
      <c r="EQL208" s="199"/>
      <c r="EQM208" s="199"/>
      <c r="EQN208" s="199"/>
      <c r="EQO208" s="199"/>
      <c r="EQP208" s="199"/>
      <c r="EQQ208" s="199"/>
      <c r="EQR208" s="199"/>
      <c r="EQS208" s="199"/>
      <c r="EQT208" s="199"/>
      <c r="EQU208" s="199"/>
      <c r="EQV208" s="199"/>
      <c r="EQW208" s="199"/>
      <c r="EQX208" s="199"/>
      <c r="EQY208" s="199"/>
      <c r="EQZ208" s="199"/>
      <c r="ERA208" s="199"/>
      <c r="ERB208" s="199"/>
      <c r="ERC208" s="199"/>
      <c r="ERD208" s="199"/>
      <c r="ERE208" s="199"/>
      <c r="ERF208" s="199"/>
      <c r="ERG208" s="199"/>
      <c r="ERH208" s="199"/>
      <c r="ERI208" s="199"/>
      <c r="ERJ208" s="199"/>
      <c r="ERK208" s="199"/>
      <c r="ERL208" s="199"/>
      <c r="ERM208" s="199"/>
      <c r="ERN208" s="199"/>
      <c r="ERO208" s="199"/>
      <c r="ERP208" s="199"/>
      <c r="ERQ208" s="199"/>
      <c r="ERR208" s="199"/>
      <c r="ERS208" s="199"/>
      <c r="ERT208" s="199"/>
      <c r="ERU208" s="199"/>
      <c r="ERV208" s="199"/>
      <c r="ERW208" s="199"/>
      <c r="ERX208" s="199"/>
      <c r="ERY208" s="199"/>
      <c r="ERZ208" s="199"/>
      <c r="ESA208" s="199"/>
      <c r="ESB208" s="199"/>
      <c r="ESC208" s="199"/>
      <c r="ESD208" s="199"/>
      <c r="ESE208" s="199"/>
      <c r="ESF208" s="199"/>
      <c r="ESG208" s="199"/>
      <c r="ESH208" s="199"/>
      <c r="ESI208" s="199"/>
      <c r="ESJ208" s="199"/>
      <c r="ESK208" s="199"/>
      <c r="ESL208" s="199"/>
      <c r="ESM208" s="199"/>
      <c r="ESN208" s="199"/>
      <c r="ESO208" s="199"/>
      <c r="ESP208" s="199"/>
      <c r="ESQ208" s="199"/>
      <c r="ESR208" s="199"/>
      <c r="ESS208" s="199"/>
      <c r="EST208" s="199"/>
      <c r="ESU208" s="199"/>
      <c r="ESV208" s="199"/>
      <c r="ESW208" s="199"/>
      <c r="ESX208" s="199"/>
      <c r="ESY208" s="199"/>
      <c r="ESZ208" s="199"/>
      <c r="ETA208" s="199"/>
      <c r="ETB208" s="199"/>
      <c r="ETC208" s="199"/>
      <c r="ETD208" s="199"/>
      <c r="ETE208" s="199"/>
      <c r="ETF208" s="199"/>
      <c r="ETG208" s="199"/>
      <c r="ETH208" s="199"/>
      <c r="ETI208" s="199"/>
      <c r="ETJ208" s="199"/>
      <c r="ETK208" s="199"/>
      <c r="ETL208" s="199"/>
      <c r="ETM208" s="199"/>
      <c r="ETN208" s="199"/>
      <c r="ETO208" s="199"/>
      <c r="ETP208" s="199"/>
      <c r="ETQ208" s="199"/>
      <c r="ETR208" s="199"/>
      <c r="ETS208" s="199"/>
      <c r="ETT208" s="199"/>
      <c r="ETU208" s="199"/>
      <c r="ETV208" s="199"/>
      <c r="ETW208" s="199"/>
      <c r="ETX208" s="199"/>
      <c r="ETY208" s="199"/>
      <c r="ETZ208" s="199"/>
      <c r="EUA208" s="199"/>
      <c r="EUB208" s="199"/>
      <c r="EUC208" s="199"/>
      <c r="EUD208" s="199"/>
      <c r="EUE208" s="199"/>
      <c r="EUF208" s="199"/>
      <c r="EUG208" s="199"/>
      <c r="EUH208" s="199"/>
      <c r="EUI208" s="199"/>
      <c r="EUJ208" s="199"/>
      <c r="EUK208" s="199"/>
      <c r="EUL208" s="199"/>
      <c r="EUM208" s="199"/>
      <c r="EUN208" s="199"/>
      <c r="EUO208" s="199"/>
      <c r="EUP208" s="199"/>
      <c r="EUQ208" s="199"/>
      <c r="EUR208" s="199"/>
      <c r="EUS208" s="199"/>
      <c r="EUT208" s="199"/>
      <c r="EUU208" s="199"/>
      <c r="EUV208" s="199"/>
      <c r="EUW208" s="199"/>
      <c r="EUX208" s="199"/>
      <c r="EUY208" s="199"/>
      <c r="EUZ208" s="199"/>
      <c r="EVA208" s="199"/>
      <c r="EVB208" s="199"/>
      <c r="EVC208" s="199"/>
      <c r="EVD208" s="199"/>
      <c r="EVE208" s="199"/>
      <c r="EVF208" s="199"/>
      <c r="EVG208" s="199"/>
      <c r="EVH208" s="199"/>
      <c r="EVI208" s="199"/>
      <c r="EVJ208" s="199"/>
      <c r="EVK208" s="199"/>
      <c r="EVL208" s="199"/>
      <c r="EVM208" s="199"/>
      <c r="EVN208" s="199"/>
      <c r="EVO208" s="199"/>
      <c r="EVP208" s="199"/>
      <c r="EVQ208" s="199"/>
      <c r="EVR208" s="199"/>
      <c r="EVS208" s="199"/>
      <c r="EVT208" s="199"/>
      <c r="EVU208" s="199"/>
      <c r="EVV208" s="199"/>
      <c r="EVW208" s="199"/>
      <c r="EVX208" s="199"/>
      <c r="EVY208" s="199"/>
      <c r="EVZ208" s="199"/>
      <c r="EWA208" s="199"/>
      <c r="EWB208" s="199"/>
      <c r="EWC208" s="199"/>
      <c r="EWD208" s="199"/>
      <c r="EWE208" s="199"/>
      <c r="EWF208" s="199"/>
      <c r="EWG208" s="199"/>
      <c r="EWH208" s="199"/>
      <c r="EWI208" s="199"/>
      <c r="EWJ208" s="199"/>
      <c r="EWK208" s="199"/>
      <c r="EWL208" s="199"/>
      <c r="EWM208" s="199"/>
      <c r="EWN208" s="199"/>
      <c r="EWO208" s="199"/>
      <c r="EWP208" s="199"/>
      <c r="EWQ208" s="199"/>
      <c r="EWR208" s="199"/>
      <c r="EWS208" s="199"/>
      <c r="EWT208" s="199"/>
      <c r="EWU208" s="199"/>
      <c r="EWV208" s="199"/>
      <c r="EWW208" s="199"/>
      <c r="EWX208" s="199"/>
      <c r="EWY208" s="199"/>
      <c r="EWZ208" s="199"/>
      <c r="EXA208" s="199"/>
      <c r="EXB208" s="199"/>
      <c r="EXC208" s="199"/>
      <c r="EXD208" s="199"/>
      <c r="EXE208" s="199"/>
      <c r="EXF208" s="199"/>
      <c r="EXG208" s="199"/>
      <c r="EXH208" s="199"/>
      <c r="EXI208" s="199"/>
      <c r="EXJ208" s="199"/>
      <c r="EXK208" s="199"/>
      <c r="EXL208" s="199"/>
      <c r="EXM208" s="199"/>
      <c r="EXN208" s="199"/>
      <c r="EXO208" s="199"/>
      <c r="EXP208" s="199"/>
      <c r="EXQ208" s="199"/>
      <c r="EXR208" s="199"/>
      <c r="EXS208" s="199"/>
      <c r="EXT208" s="199"/>
      <c r="EXU208" s="199"/>
      <c r="EXV208" s="199"/>
      <c r="EXW208" s="199"/>
      <c r="EXX208" s="199"/>
      <c r="EXY208" s="199"/>
      <c r="EXZ208" s="199"/>
      <c r="EYA208" s="199"/>
      <c r="EYB208" s="199"/>
      <c r="EYC208" s="199"/>
      <c r="EYD208" s="199"/>
      <c r="EYE208" s="199"/>
      <c r="EYF208" s="199"/>
      <c r="EYG208" s="199"/>
      <c r="EYH208" s="199"/>
      <c r="EYI208" s="199"/>
      <c r="EYJ208" s="199"/>
      <c r="EYK208" s="199"/>
      <c r="EYL208" s="199"/>
      <c r="EYM208" s="199"/>
      <c r="EYN208" s="199"/>
      <c r="EYO208" s="199"/>
      <c r="EYP208" s="199"/>
      <c r="EYQ208" s="199"/>
      <c r="EYR208" s="199"/>
      <c r="EYS208" s="199"/>
      <c r="EYT208" s="199"/>
      <c r="EYU208" s="199"/>
      <c r="EYV208" s="199"/>
      <c r="EYW208" s="199"/>
      <c r="EYX208" s="199"/>
      <c r="EYY208" s="199"/>
      <c r="EYZ208" s="199"/>
      <c r="EZA208" s="199"/>
      <c r="EZB208" s="199"/>
      <c r="EZC208" s="199"/>
      <c r="EZD208" s="199"/>
      <c r="EZE208" s="199"/>
      <c r="EZF208" s="199"/>
      <c r="EZG208" s="199"/>
      <c r="EZH208" s="199"/>
      <c r="EZI208" s="199"/>
      <c r="EZJ208" s="199"/>
      <c r="EZK208" s="199"/>
      <c r="EZL208" s="199"/>
      <c r="EZM208" s="199"/>
      <c r="EZN208" s="199"/>
      <c r="EZO208" s="199"/>
      <c r="EZP208" s="199"/>
      <c r="EZQ208" s="199"/>
      <c r="EZR208" s="199"/>
      <c r="EZS208" s="199"/>
      <c r="EZT208" s="199"/>
      <c r="EZU208" s="199"/>
      <c r="EZV208" s="199"/>
      <c r="EZW208" s="199"/>
      <c r="EZX208" s="199"/>
      <c r="EZY208" s="199"/>
      <c r="EZZ208" s="199"/>
      <c r="FAA208" s="199"/>
      <c r="FAB208" s="199"/>
      <c r="FAC208" s="199"/>
      <c r="FAD208" s="199"/>
      <c r="FAE208" s="199"/>
      <c r="FAF208" s="199"/>
      <c r="FAG208" s="199"/>
      <c r="FAH208" s="199"/>
      <c r="FAI208" s="199"/>
      <c r="FAJ208" s="199"/>
      <c r="FAK208" s="199"/>
      <c r="FAL208" s="199"/>
      <c r="FAM208" s="199"/>
      <c r="FAN208" s="199"/>
      <c r="FAO208" s="199"/>
      <c r="FAP208" s="199"/>
      <c r="FAQ208" s="199"/>
      <c r="FAR208" s="199"/>
      <c r="FAS208" s="199"/>
      <c r="FAT208" s="199"/>
      <c r="FAU208" s="199"/>
      <c r="FAV208" s="199"/>
      <c r="FAW208" s="199"/>
      <c r="FAX208" s="199"/>
      <c r="FAY208" s="199"/>
      <c r="FAZ208" s="199"/>
      <c r="FBA208" s="199"/>
      <c r="FBB208" s="199"/>
      <c r="FBC208" s="199"/>
      <c r="FBD208" s="199"/>
      <c r="FBE208" s="199"/>
      <c r="FBF208" s="199"/>
      <c r="FBG208" s="199"/>
      <c r="FBH208" s="199"/>
      <c r="FBI208" s="199"/>
      <c r="FBJ208" s="199"/>
      <c r="FBK208" s="199"/>
      <c r="FBL208" s="199"/>
      <c r="FBM208" s="199"/>
      <c r="FBN208" s="199"/>
      <c r="FBO208" s="199"/>
      <c r="FBP208" s="199"/>
      <c r="FBQ208" s="199"/>
      <c r="FBR208" s="199"/>
      <c r="FBS208" s="199"/>
      <c r="FBT208" s="199"/>
      <c r="FBU208" s="199"/>
      <c r="FBV208" s="199"/>
      <c r="FBW208" s="199"/>
      <c r="FBX208" s="199"/>
      <c r="FBY208" s="199"/>
      <c r="FBZ208" s="199"/>
      <c r="FCA208" s="199"/>
      <c r="FCB208" s="199"/>
      <c r="FCC208" s="199"/>
      <c r="FCD208" s="199"/>
      <c r="FCE208" s="199"/>
      <c r="FCF208" s="199"/>
      <c r="FCG208" s="199"/>
      <c r="FCH208" s="199"/>
      <c r="FCI208" s="199"/>
      <c r="FCJ208" s="199"/>
      <c r="FCK208" s="199"/>
      <c r="FCL208" s="199"/>
      <c r="FCM208" s="199"/>
      <c r="FCN208" s="199"/>
      <c r="FCO208" s="199"/>
      <c r="FCP208" s="199"/>
      <c r="FCQ208" s="199"/>
      <c r="FCR208" s="199"/>
      <c r="FCS208" s="199"/>
      <c r="FCT208" s="199"/>
      <c r="FCU208" s="199"/>
      <c r="FCV208" s="199"/>
      <c r="FCW208" s="199"/>
      <c r="FCX208" s="199"/>
      <c r="FCY208" s="199"/>
      <c r="FCZ208" s="199"/>
      <c r="FDA208" s="199"/>
      <c r="FDB208" s="199"/>
      <c r="FDC208" s="199"/>
      <c r="FDD208" s="199"/>
      <c r="FDE208" s="199"/>
      <c r="FDF208" s="199"/>
      <c r="FDG208" s="199"/>
      <c r="FDH208" s="199"/>
      <c r="FDI208" s="199"/>
      <c r="FDJ208" s="199"/>
      <c r="FDK208" s="199"/>
      <c r="FDL208" s="199"/>
      <c r="FDM208" s="199"/>
      <c r="FDN208" s="199"/>
      <c r="FDO208" s="199"/>
      <c r="FDP208" s="199"/>
      <c r="FDQ208" s="199"/>
      <c r="FDR208" s="199"/>
      <c r="FDS208" s="199"/>
      <c r="FDT208" s="199"/>
      <c r="FDU208" s="199"/>
      <c r="FDV208" s="199"/>
      <c r="FDW208" s="199"/>
      <c r="FDX208" s="199"/>
      <c r="FDY208" s="199"/>
      <c r="FDZ208" s="199"/>
      <c r="FEA208" s="199"/>
      <c r="FEB208" s="199"/>
      <c r="FEC208" s="199"/>
      <c r="FED208" s="199"/>
      <c r="FEE208" s="199"/>
      <c r="FEF208" s="199"/>
      <c r="FEG208" s="199"/>
      <c r="FEH208" s="199"/>
      <c r="FEI208" s="199"/>
      <c r="FEJ208" s="199"/>
      <c r="FEK208" s="199"/>
      <c r="FEL208" s="199"/>
      <c r="FEM208" s="199"/>
      <c r="FEN208" s="199"/>
      <c r="FEO208" s="199"/>
      <c r="FEP208" s="199"/>
      <c r="FEQ208" s="199"/>
      <c r="FER208" s="199"/>
      <c r="FES208" s="199"/>
      <c r="FET208" s="199"/>
      <c r="FEU208" s="199"/>
      <c r="FEV208" s="199"/>
      <c r="FEW208" s="199"/>
      <c r="FEX208" s="199"/>
      <c r="FEY208" s="199"/>
      <c r="FEZ208" s="199"/>
      <c r="FFA208" s="199"/>
      <c r="FFB208" s="199"/>
      <c r="FFC208" s="199"/>
      <c r="FFD208" s="199"/>
      <c r="FFE208" s="199"/>
      <c r="FFF208" s="199"/>
      <c r="FFG208" s="199"/>
      <c r="FFH208" s="199"/>
      <c r="FFI208" s="199"/>
      <c r="FFJ208" s="199"/>
      <c r="FFK208" s="199"/>
      <c r="FFL208" s="199"/>
      <c r="FFM208" s="199"/>
      <c r="FFN208" s="199"/>
      <c r="FFO208" s="199"/>
      <c r="FFP208" s="199"/>
      <c r="FFQ208" s="199"/>
      <c r="FFR208" s="199"/>
      <c r="FFS208" s="199"/>
      <c r="FFT208" s="199"/>
      <c r="FFU208" s="199"/>
      <c r="FFV208" s="199"/>
      <c r="FFW208" s="199"/>
      <c r="FFX208" s="199"/>
      <c r="FFY208" s="199"/>
      <c r="FFZ208" s="199"/>
      <c r="FGA208" s="199"/>
      <c r="FGB208" s="199"/>
      <c r="FGC208" s="199"/>
      <c r="FGD208" s="199"/>
      <c r="FGE208" s="199"/>
      <c r="FGF208" s="199"/>
      <c r="FGG208" s="199"/>
      <c r="FGH208" s="199"/>
      <c r="FGI208" s="199"/>
      <c r="FGJ208" s="199"/>
      <c r="FGK208" s="199"/>
      <c r="FGL208" s="199"/>
      <c r="FGM208" s="199"/>
      <c r="FGN208" s="199"/>
      <c r="FGO208" s="199"/>
      <c r="FGP208" s="199"/>
      <c r="FGQ208" s="199"/>
      <c r="FGR208" s="199"/>
      <c r="FGS208" s="199"/>
      <c r="FGT208" s="199"/>
      <c r="FGU208" s="199"/>
      <c r="FGV208" s="199"/>
      <c r="FGW208" s="199"/>
      <c r="FGX208" s="199"/>
      <c r="FGY208" s="199"/>
      <c r="FGZ208" s="199"/>
      <c r="FHA208" s="199"/>
      <c r="FHB208" s="199"/>
      <c r="FHC208" s="199"/>
      <c r="FHD208" s="199"/>
      <c r="FHE208" s="199"/>
      <c r="FHF208" s="199"/>
      <c r="FHG208" s="199"/>
      <c r="FHH208" s="199"/>
      <c r="FHI208" s="199"/>
      <c r="FHJ208" s="199"/>
      <c r="FHK208" s="199"/>
      <c r="FHL208" s="199"/>
      <c r="FHM208" s="199"/>
      <c r="FHN208" s="199"/>
      <c r="FHO208" s="199"/>
      <c r="FHP208" s="199"/>
      <c r="FHQ208" s="199"/>
      <c r="FHR208" s="199"/>
      <c r="FHS208" s="199"/>
      <c r="FHT208" s="199"/>
      <c r="FHU208" s="199"/>
      <c r="FHV208" s="199"/>
      <c r="FHW208" s="199"/>
      <c r="FHX208" s="199"/>
      <c r="FHY208" s="199"/>
      <c r="FHZ208" s="199"/>
      <c r="FIA208" s="199"/>
      <c r="FIB208" s="199"/>
      <c r="FIC208" s="199"/>
      <c r="FID208" s="199"/>
      <c r="FIE208" s="199"/>
      <c r="FIF208" s="199"/>
      <c r="FIG208" s="199"/>
      <c r="FIH208" s="199"/>
      <c r="FII208" s="199"/>
      <c r="FIJ208" s="199"/>
      <c r="FIK208" s="199"/>
      <c r="FIL208" s="199"/>
      <c r="FIM208" s="199"/>
      <c r="FIN208" s="199"/>
      <c r="FIO208" s="199"/>
      <c r="FIP208" s="199"/>
      <c r="FIQ208" s="199"/>
      <c r="FIR208" s="199"/>
      <c r="FIS208" s="199"/>
      <c r="FIT208" s="199"/>
      <c r="FIU208" s="199"/>
      <c r="FIV208" s="199"/>
      <c r="FIW208" s="199"/>
      <c r="FIX208" s="199"/>
      <c r="FIY208" s="199"/>
      <c r="FIZ208" s="199"/>
      <c r="FJA208" s="199"/>
      <c r="FJB208" s="199"/>
      <c r="FJC208" s="199"/>
      <c r="FJD208" s="199"/>
      <c r="FJE208" s="199"/>
      <c r="FJF208" s="199"/>
      <c r="FJG208" s="199"/>
      <c r="FJH208" s="199"/>
      <c r="FJI208" s="199"/>
      <c r="FJJ208" s="199"/>
      <c r="FJK208" s="199"/>
      <c r="FJL208" s="199"/>
      <c r="FJM208" s="199"/>
      <c r="FJN208" s="199"/>
      <c r="FJO208" s="199"/>
      <c r="FJP208" s="199"/>
      <c r="FJQ208" s="199"/>
      <c r="FJR208" s="199"/>
      <c r="FJS208" s="199"/>
      <c r="FJT208" s="199"/>
      <c r="FJU208" s="199"/>
      <c r="FJV208" s="199"/>
      <c r="FJW208" s="199"/>
      <c r="FJX208" s="199"/>
      <c r="FJY208" s="199"/>
      <c r="FJZ208" s="199"/>
      <c r="FKA208" s="199"/>
      <c r="FKB208" s="199"/>
      <c r="FKC208" s="199"/>
      <c r="FKD208" s="199"/>
      <c r="FKE208" s="199"/>
      <c r="FKF208" s="199"/>
      <c r="FKG208" s="199"/>
      <c r="FKH208" s="199"/>
      <c r="FKI208" s="199"/>
      <c r="FKJ208" s="199"/>
      <c r="FKK208" s="199"/>
      <c r="FKL208" s="199"/>
      <c r="FKM208" s="199"/>
      <c r="FKN208" s="199"/>
      <c r="FKO208" s="199"/>
      <c r="FKP208" s="199"/>
      <c r="FKQ208" s="199"/>
      <c r="FKR208" s="199"/>
      <c r="FKS208" s="199"/>
      <c r="FKT208" s="199"/>
      <c r="FKU208" s="199"/>
      <c r="FKV208" s="199"/>
      <c r="FKW208" s="199"/>
      <c r="FKX208" s="199"/>
      <c r="FKY208" s="199"/>
      <c r="FKZ208" s="199"/>
      <c r="FLA208" s="199"/>
      <c r="FLB208" s="199"/>
      <c r="FLC208" s="199"/>
      <c r="FLD208" s="199"/>
      <c r="FLE208" s="199"/>
      <c r="FLF208" s="199"/>
      <c r="FLG208" s="199"/>
      <c r="FLH208" s="199"/>
      <c r="FLI208" s="199"/>
      <c r="FLJ208" s="199"/>
      <c r="FLK208" s="199"/>
      <c r="FLL208" s="199"/>
      <c r="FLM208" s="199"/>
      <c r="FLN208" s="199"/>
      <c r="FLO208" s="199"/>
      <c r="FLP208" s="199"/>
      <c r="FLQ208" s="199"/>
      <c r="FLR208" s="199"/>
      <c r="FLS208" s="199"/>
      <c r="FLT208" s="199"/>
      <c r="FLU208" s="199"/>
      <c r="FLV208" s="199"/>
      <c r="FLW208" s="199"/>
      <c r="FLX208" s="199"/>
      <c r="FLY208" s="199"/>
      <c r="FLZ208" s="199"/>
      <c r="FMA208" s="199"/>
      <c r="FMB208" s="199"/>
      <c r="FMC208" s="199"/>
      <c r="FMD208" s="199"/>
      <c r="FME208" s="199"/>
      <c r="FMF208" s="199"/>
      <c r="FMG208" s="199"/>
      <c r="FMH208" s="199"/>
      <c r="FMI208" s="199"/>
      <c r="FMJ208" s="199"/>
      <c r="FMK208" s="199"/>
      <c r="FML208" s="199"/>
      <c r="FMM208" s="199"/>
      <c r="FMN208" s="199"/>
      <c r="FMO208" s="199"/>
      <c r="FMP208" s="199"/>
      <c r="FMQ208" s="199"/>
      <c r="FMR208" s="199"/>
      <c r="FMS208" s="199"/>
      <c r="FMT208" s="199"/>
      <c r="FMU208" s="199"/>
      <c r="FMV208" s="199"/>
      <c r="FMW208" s="199"/>
      <c r="FMX208" s="199"/>
      <c r="FMY208" s="199"/>
      <c r="FMZ208" s="199"/>
      <c r="FNA208" s="199"/>
      <c r="FNB208" s="199"/>
      <c r="FNC208" s="199"/>
      <c r="FND208" s="199"/>
      <c r="FNE208" s="199"/>
      <c r="FNF208" s="199"/>
      <c r="FNG208" s="199"/>
      <c r="FNH208" s="199"/>
      <c r="FNI208" s="199"/>
      <c r="FNJ208" s="199"/>
      <c r="FNK208" s="199"/>
      <c r="FNL208" s="199"/>
      <c r="FNM208" s="199"/>
      <c r="FNN208" s="199"/>
      <c r="FNO208" s="199"/>
      <c r="FNP208" s="199"/>
      <c r="FNQ208" s="199"/>
      <c r="FNR208" s="199"/>
      <c r="FNS208" s="199"/>
      <c r="FNT208" s="199"/>
      <c r="FNU208" s="199"/>
      <c r="FNV208" s="199"/>
      <c r="FNW208" s="199"/>
      <c r="FNX208" s="199"/>
      <c r="FNY208" s="199"/>
      <c r="FNZ208" s="199"/>
      <c r="FOA208" s="199"/>
      <c r="FOB208" s="199"/>
      <c r="FOC208" s="199"/>
      <c r="FOD208" s="199"/>
      <c r="FOE208" s="199"/>
      <c r="FOF208" s="199"/>
      <c r="FOG208" s="199"/>
      <c r="FOH208" s="199"/>
      <c r="FOI208" s="199"/>
      <c r="FOJ208" s="199"/>
      <c r="FOK208" s="199"/>
      <c r="FOL208" s="199"/>
      <c r="FOM208" s="199"/>
      <c r="FON208" s="199"/>
      <c r="FOO208" s="199"/>
      <c r="FOP208" s="199"/>
      <c r="FOQ208" s="199"/>
      <c r="FOR208" s="199"/>
      <c r="FOS208" s="199"/>
      <c r="FOT208" s="199"/>
      <c r="FOU208" s="199"/>
      <c r="FOV208" s="199"/>
      <c r="FOW208" s="199"/>
      <c r="FOX208" s="199"/>
      <c r="FOY208" s="199"/>
      <c r="FOZ208" s="199"/>
      <c r="FPA208" s="199"/>
      <c r="FPB208" s="199"/>
      <c r="FPC208" s="199"/>
      <c r="FPD208" s="199"/>
      <c r="FPE208" s="199"/>
      <c r="FPF208" s="199"/>
      <c r="FPG208" s="199"/>
      <c r="FPH208" s="199"/>
      <c r="FPI208" s="199"/>
      <c r="FPJ208" s="199"/>
      <c r="FPK208" s="199"/>
      <c r="FPL208" s="199"/>
      <c r="FPM208" s="199"/>
      <c r="FPN208" s="199"/>
      <c r="FPO208" s="199"/>
      <c r="FPP208" s="199"/>
      <c r="FPQ208" s="199"/>
      <c r="FPR208" s="199"/>
      <c r="FPS208" s="199"/>
      <c r="FPT208" s="199"/>
      <c r="FPU208" s="199"/>
      <c r="FPV208" s="199"/>
      <c r="FPW208" s="199"/>
      <c r="FPX208" s="199"/>
      <c r="FPY208" s="199"/>
      <c r="FPZ208" s="199"/>
      <c r="FQA208" s="199"/>
      <c r="FQB208" s="199"/>
      <c r="FQC208" s="199"/>
      <c r="FQD208" s="199"/>
      <c r="FQE208" s="199"/>
      <c r="FQF208" s="199"/>
      <c r="FQG208" s="199"/>
      <c r="FQH208" s="199"/>
      <c r="FQI208" s="199"/>
      <c r="FQJ208" s="199"/>
      <c r="FQK208" s="199"/>
      <c r="FQL208" s="199"/>
      <c r="FQM208" s="199"/>
      <c r="FQN208" s="199"/>
      <c r="FQO208" s="199"/>
      <c r="FQP208" s="199"/>
      <c r="FQQ208" s="199"/>
      <c r="FQR208" s="199"/>
      <c r="FQS208" s="199"/>
      <c r="FQT208" s="199"/>
      <c r="FQU208" s="199"/>
      <c r="FQV208" s="199"/>
      <c r="FQW208" s="199"/>
      <c r="FQX208" s="199"/>
      <c r="FQY208" s="199"/>
      <c r="FQZ208" s="199"/>
      <c r="FRA208" s="199"/>
      <c r="FRB208" s="199"/>
      <c r="FRC208" s="199"/>
      <c r="FRD208" s="199"/>
      <c r="FRE208" s="199"/>
      <c r="FRF208" s="199"/>
      <c r="FRG208" s="199"/>
      <c r="FRH208" s="199"/>
      <c r="FRI208" s="199"/>
      <c r="FRJ208" s="199"/>
      <c r="FRK208" s="199"/>
      <c r="FRL208" s="199"/>
      <c r="FRM208" s="199"/>
      <c r="FRN208" s="199"/>
      <c r="FRO208" s="199"/>
      <c r="FRP208" s="199"/>
      <c r="FRQ208" s="199"/>
      <c r="FRR208" s="199"/>
      <c r="FRS208" s="199"/>
      <c r="FRT208" s="199"/>
      <c r="FRU208" s="199"/>
      <c r="FRV208" s="199"/>
      <c r="FRW208" s="199"/>
      <c r="FRX208" s="199"/>
      <c r="FRY208" s="199"/>
      <c r="FRZ208" s="199"/>
      <c r="FSA208" s="199"/>
      <c r="FSB208" s="199"/>
      <c r="FSC208" s="199"/>
      <c r="FSD208" s="199"/>
      <c r="FSE208" s="199"/>
      <c r="FSF208" s="199"/>
      <c r="FSG208" s="199"/>
      <c r="FSH208" s="199"/>
      <c r="FSI208" s="199"/>
      <c r="FSJ208" s="199"/>
      <c r="FSK208" s="199"/>
      <c r="FSL208" s="199"/>
      <c r="FSM208" s="199"/>
      <c r="FSN208" s="199"/>
      <c r="FSO208" s="199"/>
      <c r="FSP208" s="199"/>
      <c r="FSQ208" s="199"/>
      <c r="FSR208" s="199"/>
      <c r="FSS208" s="199"/>
      <c r="FST208" s="199"/>
      <c r="FSU208" s="199"/>
      <c r="FSV208" s="199"/>
      <c r="FSW208" s="199"/>
      <c r="FSX208" s="199"/>
      <c r="FSY208" s="199"/>
      <c r="FSZ208" s="199"/>
      <c r="FTA208" s="199"/>
      <c r="FTB208" s="199"/>
      <c r="FTC208" s="199"/>
      <c r="FTD208" s="199"/>
      <c r="FTE208" s="199"/>
      <c r="FTF208" s="199"/>
      <c r="FTG208" s="199"/>
      <c r="FTH208" s="199"/>
      <c r="FTI208" s="199"/>
      <c r="FTJ208" s="199"/>
      <c r="FTK208" s="199"/>
      <c r="FTL208" s="199"/>
      <c r="FTM208" s="199"/>
      <c r="FTN208" s="199"/>
      <c r="FTO208" s="199"/>
      <c r="FTP208" s="199"/>
      <c r="FTQ208" s="199"/>
      <c r="FTR208" s="199"/>
      <c r="FTS208" s="199"/>
      <c r="FTT208" s="199"/>
      <c r="FTU208" s="199"/>
      <c r="FTV208" s="199"/>
      <c r="FTW208" s="199"/>
      <c r="FTX208" s="199"/>
      <c r="FTY208" s="199"/>
      <c r="FTZ208" s="199"/>
      <c r="FUA208" s="199"/>
      <c r="FUB208" s="199"/>
      <c r="FUC208" s="199"/>
      <c r="FUD208" s="199"/>
      <c r="FUE208" s="199"/>
      <c r="FUF208" s="199"/>
      <c r="FUG208" s="199"/>
      <c r="FUH208" s="199"/>
      <c r="FUI208" s="199"/>
      <c r="FUJ208" s="199"/>
      <c r="FUK208" s="199"/>
      <c r="FUL208" s="199"/>
      <c r="FUM208" s="199"/>
      <c r="FUN208" s="199"/>
      <c r="FUO208" s="199"/>
      <c r="FUP208" s="199"/>
      <c r="FUQ208" s="199"/>
      <c r="FUR208" s="199"/>
      <c r="FUS208" s="199"/>
      <c r="FUT208" s="199"/>
      <c r="FUU208" s="199"/>
      <c r="FUV208" s="199"/>
      <c r="FUW208" s="199"/>
      <c r="FUX208" s="199"/>
      <c r="FUY208" s="199"/>
      <c r="FUZ208" s="199"/>
      <c r="FVA208" s="199"/>
      <c r="FVB208" s="199"/>
      <c r="FVC208" s="199"/>
      <c r="FVD208" s="199"/>
      <c r="FVE208" s="199"/>
      <c r="FVF208" s="199"/>
      <c r="FVG208" s="199"/>
      <c r="FVH208" s="199"/>
      <c r="FVI208" s="199"/>
      <c r="FVJ208" s="199"/>
      <c r="FVK208" s="199"/>
      <c r="FVL208" s="199"/>
      <c r="FVM208" s="199"/>
      <c r="FVN208" s="199"/>
      <c r="FVO208" s="199"/>
      <c r="FVP208" s="199"/>
      <c r="FVQ208" s="199"/>
      <c r="FVR208" s="199"/>
      <c r="FVS208" s="199"/>
      <c r="FVT208" s="199"/>
      <c r="FVU208" s="199"/>
      <c r="FVV208" s="199"/>
      <c r="FVW208" s="199"/>
      <c r="FVX208" s="199"/>
      <c r="FVY208" s="199"/>
      <c r="FVZ208" s="199"/>
      <c r="FWA208" s="199"/>
      <c r="FWB208" s="199"/>
      <c r="FWC208" s="199"/>
      <c r="FWD208" s="199"/>
      <c r="FWE208" s="199"/>
      <c r="FWF208" s="199"/>
      <c r="FWG208" s="199"/>
      <c r="FWH208" s="199"/>
      <c r="FWI208" s="199"/>
      <c r="FWJ208" s="199"/>
      <c r="FWK208" s="199"/>
      <c r="FWL208" s="199"/>
      <c r="FWM208" s="199"/>
      <c r="FWN208" s="199"/>
      <c r="FWO208" s="199"/>
      <c r="FWP208" s="199"/>
      <c r="FWQ208" s="199"/>
      <c r="FWR208" s="199"/>
      <c r="FWS208" s="199"/>
      <c r="FWT208" s="199"/>
      <c r="FWU208" s="199"/>
      <c r="FWV208" s="199"/>
      <c r="FWW208" s="199"/>
      <c r="FWX208" s="199"/>
      <c r="FWY208" s="199"/>
      <c r="FWZ208" s="199"/>
      <c r="FXA208" s="199"/>
      <c r="FXB208" s="199"/>
      <c r="FXC208" s="199"/>
      <c r="FXD208" s="199"/>
      <c r="FXE208" s="199"/>
      <c r="FXF208" s="199"/>
      <c r="FXG208" s="199"/>
      <c r="FXH208" s="199"/>
      <c r="FXI208" s="199"/>
      <c r="FXJ208" s="199"/>
      <c r="FXK208" s="199"/>
      <c r="FXL208" s="199"/>
      <c r="FXM208" s="199"/>
      <c r="FXN208" s="199"/>
      <c r="FXO208" s="199"/>
      <c r="FXP208" s="199"/>
      <c r="FXQ208" s="199"/>
      <c r="FXR208" s="199"/>
      <c r="FXS208" s="199"/>
      <c r="FXT208" s="199"/>
      <c r="FXU208" s="199"/>
      <c r="FXV208" s="199"/>
      <c r="FXW208" s="199"/>
      <c r="FXX208" s="199"/>
      <c r="FXY208" s="199"/>
      <c r="FXZ208" s="199"/>
      <c r="FYA208" s="199"/>
      <c r="FYB208" s="199"/>
      <c r="FYC208" s="199"/>
      <c r="FYD208" s="199"/>
      <c r="FYE208" s="199"/>
      <c r="FYF208" s="199"/>
      <c r="FYG208" s="199"/>
      <c r="FYH208" s="199"/>
      <c r="FYI208" s="199"/>
      <c r="FYJ208" s="199"/>
      <c r="FYK208" s="199"/>
      <c r="FYL208" s="199"/>
      <c r="FYM208" s="199"/>
      <c r="FYN208" s="199"/>
      <c r="FYO208" s="199"/>
      <c r="FYP208" s="199"/>
      <c r="FYQ208" s="199"/>
      <c r="FYR208" s="199"/>
      <c r="FYS208" s="199"/>
      <c r="FYT208" s="199"/>
      <c r="FYU208" s="199"/>
      <c r="FYV208" s="199"/>
      <c r="FYW208" s="199"/>
      <c r="FYX208" s="199"/>
      <c r="FYY208" s="199"/>
      <c r="FYZ208" s="199"/>
      <c r="FZA208" s="199"/>
      <c r="FZB208" s="199"/>
      <c r="FZC208" s="199"/>
      <c r="FZD208" s="199"/>
      <c r="FZE208" s="199"/>
      <c r="FZF208" s="199"/>
      <c r="FZG208" s="199"/>
      <c r="FZH208" s="199"/>
      <c r="FZI208" s="199"/>
      <c r="FZJ208" s="199"/>
      <c r="FZK208" s="199"/>
      <c r="FZL208" s="199"/>
      <c r="FZM208" s="199"/>
      <c r="FZN208" s="199"/>
      <c r="FZO208" s="199"/>
      <c r="FZP208" s="199"/>
      <c r="FZQ208" s="199"/>
      <c r="FZR208" s="199"/>
      <c r="FZS208" s="199"/>
      <c r="FZT208" s="199"/>
      <c r="FZU208" s="199"/>
      <c r="FZV208" s="199"/>
      <c r="FZW208" s="199"/>
      <c r="FZX208" s="199"/>
      <c r="FZY208" s="199"/>
      <c r="FZZ208" s="199"/>
      <c r="GAA208" s="199"/>
      <c r="GAB208" s="199"/>
      <c r="GAC208" s="199"/>
      <c r="GAD208" s="199"/>
      <c r="GAE208" s="199"/>
      <c r="GAF208" s="199"/>
      <c r="GAG208" s="199"/>
      <c r="GAH208" s="199"/>
      <c r="GAI208" s="199"/>
      <c r="GAJ208" s="199"/>
      <c r="GAK208" s="199"/>
      <c r="GAL208" s="199"/>
      <c r="GAM208" s="199"/>
      <c r="GAN208" s="199"/>
      <c r="GAO208" s="199"/>
      <c r="GAP208" s="199"/>
      <c r="GAQ208" s="199"/>
      <c r="GAR208" s="199"/>
      <c r="GAS208" s="199"/>
      <c r="GAT208" s="199"/>
      <c r="GAU208" s="199"/>
      <c r="GAV208" s="199"/>
      <c r="GAW208" s="199"/>
      <c r="GAX208" s="199"/>
      <c r="GAY208" s="199"/>
      <c r="GAZ208" s="199"/>
      <c r="GBA208" s="199"/>
      <c r="GBB208" s="199"/>
      <c r="GBC208" s="199"/>
      <c r="GBD208" s="199"/>
      <c r="GBE208" s="199"/>
      <c r="GBF208" s="199"/>
      <c r="GBG208" s="199"/>
      <c r="GBH208" s="199"/>
      <c r="GBI208" s="199"/>
      <c r="GBJ208" s="199"/>
      <c r="GBK208" s="199"/>
      <c r="GBL208" s="199"/>
      <c r="GBM208" s="199"/>
      <c r="GBN208" s="199"/>
      <c r="GBO208" s="199"/>
      <c r="GBP208" s="199"/>
      <c r="GBQ208" s="199"/>
      <c r="GBR208" s="199"/>
      <c r="GBS208" s="199"/>
      <c r="GBT208" s="199"/>
      <c r="GBU208" s="199"/>
      <c r="GBV208" s="199"/>
      <c r="GBW208" s="199"/>
      <c r="GBX208" s="199"/>
      <c r="GBY208" s="199"/>
      <c r="GBZ208" s="199"/>
      <c r="GCA208" s="199"/>
      <c r="GCB208" s="199"/>
      <c r="GCC208" s="199"/>
      <c r="GCD208" s="199"/>
      <c r="GCE208" s="199"/>
      <c r="GCF208" s="199"/>
      <c r="GCG208" s="199"/>
      <c r="GCH208" s="199"/>
      <c r="GCI208" s="199"/>
      <c r="GCJ208" s="199"/>
      <c r="GCK208" s="199"/>
      <c r="GCL208" s="199"/>
      <c r="GCM208" s="199"/>
      <c r="GCN208" s="199"/>
      <c r="GCO208" s="199"/>
      <c r="GCP208" s="199"/>
      <c r="GCQ208" s="199"/>
      <c r="GCR208" s="199"/>
      <c r="GCS208" s="199"/>
      <c r="GCT208" s="199"/>
      <c r="GCU208" s="199"/>
      <c r="GCV208" s="199"/>
      <c r="GCW208" s="199"/>
      <c r="GCX208" s="199"/>
      <c r="GCY208" s="199"/>
      <c r="GCZ208" s="199"/>
      <c r="GDA208" s="199"/>
      <c r="GDB208" s="199"/>
      <c r="GDC208" s="199"/>
      <c r="GDD208" s="199"/>
      <c r="GDE208" s="199"/>
      <c r="GDF208" s="199"/>
      <c r="GDG208" s="199"/>
      <c r="GDH208" s="199"/>
      <c r="GDI208" s="199"/>
      <c r="GDJ208" s="199"/>
      <c r="GDK208" s="199"/>
      <c r="GDL208" s="199"/>
      <c r="GDM208" s="199"/>
      <c r="GDN208" s="199"/>
      <c r="GDO208" s="199"/>
      <c r="GDP208" s="199"/>
      <c r="GDQ208" s="199"/>
      <c r="GDR208" s="199"/>
      <c r="GDS208" s="199"/>
      <c r="GDT208" s="199"/>
      <c r="GDU208" s="199"/>
      <c r="GDV208" s="199"/>
      <c r="GDW208" s="199"/>
      <c r="GDX208" s="199"/>
      <c r="GDY208" s="199"/>
      <c r="GDZ208" s="199"/>
      <c r="GEA208" s="199"/>
      <c r="GEB208" s="199"/>
      <c r="GEC208" s="199"/>
      <c r="GED208" s="199"/>
      <c r="GEE208" s="199"/>
      <c r="GEF208" s="199"/>
      <c r="GEG208" s="199"/>
      <c r="GEH208" s="199"/>
      <c r="GEI208" s="199"/>
      <c r="GEJ208" s="199"/>
      <c r="GEK208" s="199"/>
      <c r="GEL208" s="199"/>
      <c r="GEM208" s="199"/>
      <c r="GEN208" s="199"/>
      <c r="GEO208" s="199"/>
      <c r="GEP208" s="199"/>
      <c r="GEQ208" s="199"/>
      <c r="GER208" s="199"/>
      <c r="GES208" s="199"/>
      <c r="GET208" s="199"/>
      <c r="GEU208" s="199"/>
      <c r="GEV208" s="199"/>
      <c r="GEW208" s="199"/>
      <c r="GEX208" s="199"/>
      <c r="GEY208" s="199"/>
      <c r="GEZ208" s="199"/>
      <c r="GFA208" s="199"/>
      <c r="GFB208" s="199"/>
      <c r="GFC208" s="199"/>
      <c r="GFD208" s="199"/>
      <c r="GFE208" s="199"/>
      <c r="GFF208" s="199"/>
      <c r="GFG208" s="199"/>
      <c r="GFH208" s="199"/>
      <c r="GFI208" s="199"/>
      <c r="GFJ208" s="199"/>
      <c r="GFK208" s="199"/>
      <c r="GFL208" s="199"/>
      <c r="GFM208" s="199"/>
      <c r="GFN208" s="199"/>
      <c r="GFO208" s="199"/>
      <c r="GFP208" s="199"/>
      <c r="GFQ208" s="199"/>
      <c r="GFR208" s="199"/>
      <c r="GFS208" s="199"/>
      <c r="GFT208" s="199"/>
      <c r="GFU208" s="199"/>
      <c r="GFV208" s="199"/>
      <c r="GFW208" s="199"/>
      <c r="GFX208" s="199"/>
      <c r="GFY208" s="199"/>
      <c r="GFZ208" s="199"/>
      <c r="GGA208" s="199"/>
      <c r="GGB208" s="199"/>
      <c r="GGC208" s="199"/>
      <c r="GGD208" s="199"/>
      <c r="GGE208" s="199"/>
      <c r="GGF208" s="199"/>
      <c r="GGG208" s="199"/>
      <c r="GGH208" s="199"/>
      <c r="GGI208" s="199"/>
      <c r="GGJ208" s="199"/>
      <c r="GGK208" s="199"/>
      <c r="GGL208" s="199"/>
      <c r="GGM208" s="199"/>
      <c r="GGN208" s="199"/>
      <c r="GGO208" s="199"/>
      <c r="GGP208" s="199"/>
      <c r="GGQ208" s="199"/>
      <c r="GGR208" s="199"/>
      <c r="GGS208" s="199"/>
      <c r="GGT208" s="199"/>
      <c r="GGU208" s="199"/>
      <c r="GGV208" s="199"/>
      <c r="GGW208" s="199"/>
      <c r="GGX208" s="199"/>
      <c r="GGY208" s="199"/>
      <c r="GGZ208" s="199"/>
      <c r="GHA208" s="199"/>
      <c r="GHB208" s="199"/>
      <c r="GHC208" s="199"/>
      <c r="GHD208" s="199"/>
      <c r="GHE208" s="199"/>
      <c r="GHF208" s="199"/>
      <c r="GHG208" s="199"/>
      <c r="GHH208" s="199"/>
      <c r="GHI208" s="199"/>
      <c r="GHJ208" s="199"/>
      <c r="GHK208" s="199"/>
      <c r="GHL208" s="199"/>
      <c r="GHM208" s="199"/>
      <c r="GHN208" s="199"/>
      <c r="GHO208" s="199"/>
      <c r="GHP208" s="199"/>
      <c r="GHQ208" s="199"/>
      <c r="GHR208" s="199"/>
      <c r="GHS208" s="199"/>
      <c r="GHT208" s="199"/>
      <c r="GHU208" s="199"/>
      <c r="GHV208" s="199"/>
      <c r="GHW208" s="199"/>
      <c r="GHX208" s="199"/>
      <c r="GHY208" s="199"/>
      <c r="GHZ208" s="199"/>
      <c r="GIA208" s="199"/>
      <c r="GIB208" s="199"/>
      <c r="GIC208" s="199"/>
      <c r="GID208" s="199"/>
      <c r="GIE208" s="199"/>
      <c r="GIF208" s="199"/>
      <c r="GIG208" s="199"/>
      <c r="GIH208" s="199"/>
      <c r="GII208" s="199"/>
      <c r="GIJ208" s="199"/>
      <c r="GIK208" s="199"/>
      <c r="GIL208" s="199"/>
      <c r="GIM208" s="199"/>
      <c r="GIN208" s="199"/>
      <c r="GIO208" s="199"/>
      <c r="GIP208" s="199"/>
      <c r="GIQ208" s="199"/>
      <c r="GIR208" s="199"/>
      <c r="GIS208" s="199"/>
      <c r="GIT208" s="199"/>
      <c r="GIU208" s="199"/>
      <c r="GIV208" s="199"/>
      <c r="GIW208" s="199"/>
      <c r="GIX208" s="199"/>
      <c r="GIY208" s="199"/>
      <c r="GIZ208" s="199"/>
      <c r="GJA208" s="199"/>
      <c r="GJB208" s="199"/>
      <c r="GJC208" s="199"/>
      <c r="GJD208" s="199"/>
      <c r="GJE208" s="199"/>
      <c r="GJF208" s="199"/>
      <c r="GJG208" s="199"/>
      <c r="GJH208" s="199"/>
      <c r="GJI208" s="199"/>
      <c r="GJJ208" s="199"/>
      <c r="GJK208" s="199"/>
      <c r="GJL208" s="199"/>
      <c r="GJM208" s="199"/>
      <c r="GJN208" s="199"/>
      <c r="GJO208" s="199"/>
      <c r="GJP208" s="199"/>
      <c r="GJQ208" s="199"/>
      <c r="GJR208" s="199"/>
      <c r="GJS208" s="199"/>
      <c r="GJT208" s="199"/>
      <c r="GJU208" s="199"/>
      <c r="GJV208" s="199"/>
      <c r="GJW208" s="199"/>
      <c r="GJX208" s="199"/>
      <c r="GJY208" s="199"/>
      <c r="GJZ208" s="199"/>
      <c r="GKA208" s="199"/>
      <c r="GKB208" s="199"/>
      <c r="GKC208" s="199"/>
      <c r="GKD208" s="199"/>
      <c r="GKE208" s="199"/>
      <c r="GKF208" s="199"/>
      <c r="GKG208" s="199"/>
      <c r="GKH208" s="199"/>
      <c r="GKI208" s="199"/>
      <c r="GKJ208" s="199"/>
      <c r="GKK208" s="199"/>
      <c r="GKL208" s="199"/>
      <c r="GKM208" s="199"/>
      <c r="GKN208" s="199"/>
      <c r="GKO208" s="199"/>
      <c r="GKP208" s="199"/>
      <c r="GKQ208" s="199"/>
      <c r="GKR208" s="199"/>
      <c r="GKS208" s="199"/>
      <c r="GKT208" s="199"/>
      <c r="GKU208" s="199"/>
      <c r="GKV208" s="199"/>
      <c r="GKW208" s="199"/>
      <c r="GKX208" s="199"/>
      <c r="GKY208" s="199"/>
      <c r="GKZ208" s="199"/>
      <c r="GLA208" s="199"/>
      <c r="GLB208" s="199"/>
      <c r="GLC208" s="199"/>
      <c r="GLD208" s="199"/>
      <c r="GLE208" s="199"/>
      <c r="GLF208" s="199"/>
      <c r="GLG208" s="199"/>
      <c r="GLH208" s="199"/>
      <c r="GLI208" s="199"/>
      <c r="GLJ208" s="199"/>
      <c r="GLK208" s="199"/>
      <c r="GLL208" s="199"/>
      <c r="GLM208" s="199"/>
      <c r="GLN208" s="199"/>
      <c r="GLO208" s="199"/>
      <c r="GLP208" s="199"/>
      <c r="GLQ208" s="199"/>
      <c r="GLR208" s="199"/>
      <c r="GLS208" s="199"/>
      <c r="GLT208" s="199"/>
      <c r="GLU208" s="199"/>
      <c r="GLV208" s="199"/>
      <c r="GLW208" s="199"/>
      <c r="GLX208" s="199"/>
      <c r="GLY208" s="199"/>
      <c r="GLZ208" s="199"/>
      <c r="GMA208" s="199"/>
      <c r="GMB208" s="199"/>
      <c r="GMC208" s="199"/>
      <c r="GMD208" s="199"/>
      <c r="GME208" s="199"/>
      <c r="GMF208" s="199"/>
      <c r="GMG208" s="199"/>
      <c r="GMH208" s="199"/>
      <c r="GMI208" s="199"/>
      <c r="GMJ208" s="199"/>
      <c r="GMK208" s="199"/>
      <c r="GML208" s="199"/>
      <c r="GMM208" s="199"/>
      <c r="GMN208" s="199"/>
      <c r="GMO208" s="199"/>
      <c r="GMP208" s="199"/>
      <c r="GMQ208" s="199"/>
      <c r="GMR208" s="199"/>
      <c r="GMS208" s="199"/>
      <c r="GMT208" s="199"/>
      <c r="GMU208" s="199"/>
      <c r="GMV208" s="199"/>
      <c r="GMW208" s="199"/>
      <c r="GMX208" s="199"/>
      <c r="GMY208" s="199"/>
      <c r="GMZ208" s="199"/>
      <c r="GNA208" s="199"/>
      <c r="GNB208" s="199"/>
      <c r="GNC208" s="199"/>
      <c r="GND208" s="199"/>
      <c r="GNE208" s="199"/>
      <c r="GNF208" s="199"/>
      <c r="GNG208" s="199"/>
      <c r="GNH208" s="199"/>
      <c r="GNI208" s="199"/>
      <c r="GNJ208" s="199"/>
      <c r="GNK208" s="199"/>
      <c r="GNL208" s="199"/>
      <c r="GNM208" s="199"/>
      <c r="GNN208" s="199"/>
      <c r="GNO208" s="199"/>
      <c r="GNP208" s="199"/>
      <c r="GNQ208" s="199"/>
      <c r="GNR208" s="199"/>
      <c r="GNS208" s="199"/>
      <c r="GNT208" s="199"/>
      <c r="GNU208" s="199"/>
      <c r="GNV208" s="199"/>
      <c r="GNW208" s="199"/>
      <c r="GNX208" s="199"/>
      <c r="GNY208" s="199"/>
      <c r="GNZ208" s="199"/>
      <c r="GOA208" s="199"/>
      <c r="GOB208" s="199"/>
      <c r="GOC208" s="199"/>
      <c r="GOD208" s="199"/>
      <c r="GOE208" s="199"/>
      <c r="GOF208" s="199"/>
      <c r="GOG208" s="199"/>
      <c r="GOH208" s="199"/>
      <c r="GOI208" s="199"/>
      <c r="GOJ208" s="199"/>
      <c r="GOK208" s="199"/>
      <c r="GOL208" s="199"/>
      <c r="GOM208" s="199"/>
      <c r="GON208" s="199"/>
      <c r="GOO208" s="199"/>
      <c r="GOP208" s="199"/>
      <c r="GOQ208" s="199"/>
      <c r="GOR208" s="199"/>
      <c r="GOS208" s="199"/>
      <c r="GOT208" s="199"/>
      <c r="GOU208" s="199"/>
      <c r="GOV208" s="199"/>
      <c r="GOW208" s="199"/>
      <c r="GOX208" s="199"/>
      <c r="GOY208" s="199"/>
      <c r="GOZ208" s="199"/>
      <c r="GPA208" s="199"/>
      <c r="GPB208" s="199"/>
      <c r="GPC208" s="199"/>
      <c r="GPD208" s="199"/>
      <c r="GPE208" s="199"/>
      <c r="GPF208" s="199"/>
      <c r="GPG208" s="199"/>
      <c r="GPH208" s="199"/>
      <c r="GPI208" s="199"/>
      <c r="GPJ208" s="199"/>
      <c r="GPK208" s="199"/>
      <c r="GPL208" s="199"/>
      <c r="GPM208" s="199"/>
      <c r="GPN208" s="199"/>
      <c r="GPO208" s="199"/>
      <c r="GPP208" s="199"/>
      <c r="GPQ208" s="199"/>
      <c r="GPR208" s="199"/>
      <c r="GPS208" s="199"/>
      <c r="GPT208" s="199"/>
      <c r="GPU208" s="199"/>
      <c r="GPV208" s="199"/>
      <c r="GPW208" s="199"/>
      <c r="GPX208" s="199"/>
      <c r="GPY208" s="199"/>
      <c r="GPZ208" s="199"/>
      <c r="GQA208" s="199"/>
      <c r="GQB208" s="199"/>
      <c r="GQC208" s="199"/>
      <c r="GQD208" s="199"/>
      <c r="GQE208" s="199"/>
      <c r="GQF208" s="199"/>
      <c r="GQG208" s="199"/>
      <c r="GQH208" s="199"/>
      <c r="GQI208" s="199"/>
      <c r="GQJ208" s="199"/>
      <c r="GQK208" s="199"/>
      <c r="GQL208" s="199"/>
      <c r="GQM208" s="199"/>
      <c r="GQN208" s="199"/>
      <c r="GQO208" s="199"/>
      <c r="GQP208" s="199"/>
      <c r="GQQ208" s="199"/>
      <c r="GQR208" s="199"/>
      <c r="GQS208" s="199"/>
      <c r="GQT208" s="199"/>
      <c r="GQU208" s="199"/>
      <c r="GQV208" s="199"/>
      <c r="GQW208" s="199"/>
      <c r="GQX208" s="199"/>
      <c r="GQY208" s="199"/>
      <c r="GQZ208" s="199"/>
      <c r="GRA208" s="199"/>
      <c r="GRB208" s="199"/>
      <c r="GRC208" s="199"/>
      <c r="GRD208" s="199"/>
      <c r="GRE208" s="199"/>
      <c r="GRF208" s="199"/>
      <c r="GRG208" s="199"/>
      <c r="GRH208" s="199"/>
      <c r="GRI208" s="199"/>
      <c r="GRJ208" s="199"/>
      <c r="GRK208" s="199"/>
      <c r="GRL208" s="199"/>
      <c r="GRM208" s="199"/>
      <c r="GRN208" s="199"/>
      <c r="GRO208" s="199"/>
      <c r="GRP208" s="199"/>
      <c r="GRQ208" s="199"/>
      <c r="GRR208" s="199"/>
      <c r="GRS208" s="199"/>
      <c r="GRT208" s="199"/>
      <c r="GRU208" s="199"/>
      <c r="GRV208" s="199"/>
      <c r="GRW208" s="199"/>
      <c r="GRX208" s="199"/>
      <c r="GRY208" s="199"/>
      <c r="GRZ208" s="199"/>
      <c r="GSA208" s="199"/>
      <c r="GSB208" s="199"/>
      <c r="GSC208" s="199"/>
      <c r="GSD208" s="199"/>
      <c r="GSE208" s="199"/>
      <c r="GSF208" s="199"/>
      <c r="GSG208" s="199"/>
      <c r="GSH208" s="199"/>
      <c r="GSI208" s="199"/>
      <c r="GSJ208" s="199"/>
      <c r="GSK208" s="199"/>
      <c r="GSL208" s="199"/>
      <c r="GSM208" s="199"/>
      <c r="GSN208" s="199"/>
      <c r="GSO208" s="199"/>
      <c r="GSP208" s="199"/>
      <c r="GSQ208" s="199"/>
      <c r="GSR208" s="199"/>
      <c r="GSS208" s="199"/>
      <c r="GST208" s="199"/>
      <c r="GSU208" s="199"/>
      <c r="GSV208" s="199"/>
      <c r="GSW208" s="199"/>
      <c r="GSX208" s="199"/>
      <c r="GSY208" s="199"/>
      <c r="GSZ208" s="199"/>
      <c r="GTA208" s="199"/>
      <c r="GTB208" s="199"/>
      <c r="GTC208" s="199"/>
      <c r="GTD208" s="199"/>
      <c r="GTE208" s="199"/>
      <c r="GTF208" s="199"/>
      <c r="GTG208" s="199"/>
      <c r="GTH208" s="199"/>
      <c r="GTI208" s="199"/>
      <c r="GTJ208" s="199"/>
      <c r="GTK208" s="199"/>
      <c r="GTL208" s="199"/>
      <c r="GTM208" s="199"/>
      <c r="GTN208" s="199"/>
      <c r="GTO208" s="199"/>
      <c r="GTP208" s="199"/>
      <c r="GTQ208" s="199"/>
      <c r="GTR208" s="199"/>
      <c r="GTS208" s="199"/>
      <c r="GTT208" s="199"/>
      <c r="GTU208" s="199"/>
      <c r="GTV208" s="199"/>
      <c r="GTW208" s="199"/>
      <c r="GTX208" s="199"/>
      <c r="GTY208" s="199"/>
      <c r="GTZ208" s="199"/>
      <c r="GUA208" s="199"/>
      <c r="GUB208" s="199"/>
      <c r="GUC208" s="199"/>
      <c r="GUD208" s="199"/>
      <c r="GUE208" s="199"/>
      <c r="GUF208" s="199"/>
      <c r="GUG208" s="199"/>
      <c r="GUH208" s="199"/>
      <c r="GUI208" s="199"/>
      <c r="GUJ208" s="199"/>
      <c r="GUK208" s="199"/>
      <c r="GUL208" s="199"/>
      <c r="GUM208" s="199"/>
      <c r="GUN208" s="199"/>
      <c r="GUO208" s="199"/>
      <c r="GUP208" s="199"/>
      <c r="GUQ208" s="199"/>
      <c r="GUR208" s="199"/>
      <c r="GUS208" s="199"/>
      <c r="GUT208" s="199"/>
      <c r="GUU208" s="199"/>
      <c r="GUV208" s="199"/>
      <c r="GUW208" s="199"/>
      <c r="GUX208" s="199"/>
      <c r="GUY208" s="199"/>
      <c r="GUZ208" s="199"/>
      <c r="GVA208" s="199"/>
      <c r="GVB208" s="199"/>
      <c r="GVC208" s="199"/>
      <c r="GVD208" s="199"/>
      <c r="GVE208" s="199"/>
      <c r="GVF208" s="199"/>
      <c r="GVG208" s="199"/>
      <c r="GVH208" s="199"/>
      <c r="GVI208" s="199"/>
      <c r="GVJ208" s="199"/>
      <c r="GVK208" s="199"/>
      <c r="GVL208" s="199"/>
      <c r="GVM208" s="199"/>
      <c r="GVN208" s="199"/>
      <c r="GVO208" s="199"/>
      <c r="GVP208" s="199"/>
      <c r="GVQ208" s="199"/>
      <c r="GVR208" s="199"/>
      <c r="GVS208" s="199"/>
      <c r="GVT208" s="199"/>
      <c r="GVU208" s="199"/>
      <c r="GVV208" s="199"/>
      <c r="GVW208" s="199"/>
      <c r="GVX208" s="199"/>
      <c r="GVY208" s="199"/>
      <c r="GVZ208" s="199"/>
      <c r="GWA208" s="199"/>
      <c r="GWB208" s="199"/>
      <c r="GWC208" s="199"/>
      <c r="GWD208" s="199"/>
      <c r="GWE208" s="199"/>
      <c r="GWF208" s="199"/>
      <c r="GWG208" s="199"/>
      <c r="GWH208" s="199"/>
      <c r="GWI208" s="199"/>
      <c r="GWJ208" s="199"/>
      <c r="GWK208" s="199"/>
      <c r="GWL208" s="199"/>
      <c r="GWM208" s="199"/>
      <c r="GWN208" s="199"/>
      <c r="GWO208" s="199"/>
      <c r="GWP208" s="199"/>
      <c r="GWQ208" s="199"/>
      <c r="GWR208" s="199"/>
      <c r="GWS208" s="199"/>
      <c r="GWT208" s="199"/>
      <c r="GWU208" s="199"/>
      <c r="GWV208" s="199"/>
      <c r="GWW208" s="199"/>
      <c r="GWX208" s="199"/>
      <c r="GWY208" s="199"/>
      <c r="GWZ208" s="199"/>
      <c r="GXA208" s="199"/>
      <c r="GXB208" s="199"/>
      <c r="GXC208" s="199"/>
      <c r="GXD208" s="199"/>
      <c r="GXE208" s="199"/>
      <c r="GXF208" s="199"/>
      <c r="GXG208" s="199"/>
      <c r="GXH208" s="199"/>
      <c r="GXI208" s="199"/>
      <c r="GXJ208" s="199"/>
      <c r="GXK208" s="199"/>
      <c r="GXL208" s="199"/>
      <c r="GXM208" s="199"/>
      <c r="GXN208" s="199"/>
      <c r="GXO208" s="199"/>
      <c r="GXP208" s="199"/>
      <c r="GXQ208" s="199"/>
      <c r="GXR208" s="199"/>
      <c r="GXS208" s="199"/>
      <c r="GXT208" s="199"/>
      <c r="GXU208" s="199"/>
      <c r="GXV208" s="199"/>
      <c r="GXW208" s="199"/>
      <c r="GXX208" s="199"/>
      <c r="GXY208" s="199"/>
      <c r="GXZ208" s="199"/>
      <c r="GYA208" s="199"/>
      <c r="GYB208" s="199"/>
      <c r="GYC208" s="199"/>
      <c r="GYD208" s="199"/>
      <c r="GYE208" s="199"/>
      <c r="GYF208" s="199"/>
      <c r="GYG208" s="199"/>
      <c r="GYH208" s="199"/>
      <c r="GYI208" s="199"/>
      <c r="GYJ208" s="199"/>
      <c r="GYK208" s="199"/>
      <c r="GYL208" s="199"/>
      <c r="GYM208" s="199"/>
      <c r="GYN208" s="199"/>
      <c r="GYO208" s="199"/>
      <c r="GYP208" s="199"/>
      <c r="GYQ208" s="199"/>
      <c r="GYR208" s="199"/>
      <c r="GYS208" s="199"/>
      <c r="GYT208" s="199"/>
      <c r="GYU208" s="199"/>
      <c r="GYV208" s="199"/>
      <c r="GYW208" s="199"/>
      <c r="GYX208" s="199"/>
      <c r="GYY208" s="199"/>
      <c r="GYZ208" s="199"/>
      <c r="GZA208" s="199"/>
      <c r="GZB208" s="199"/>
      <c r="GZC208" s="199"/>
      <c r="GZD208" s="199"/>
      <c r="GZE208" s="199"/>
      <c r="GZF208" s="199"/>
      <c r="GZG208" s="199"/>
      <c r="GZH208" s="199"/>
      <c r="GZI208" s="199"/>
      <c r="GZJ208" s="199"/>
      <c r="GZK208" s="199"/>
      <c r="GZL208" s="199"/>
      <c r="GZM208" s="199"/>
      <c r="GZN208" s="199"/>
      <c r="GZO208" s="199"/>
      <c r="GZP208" s="199"/>
      <c r="GZQ208" s="199"/>
      <c r="GZR208" s="199"/>
      <c r="GZS208" s="199"/>
      <c r="GZT208" s="199"/>
      <c r="GZU208" s="199"/>
      <c r="GZV208" s="199"/>
      <c r="GZW208" s="199"/>
      <c r="GZX208" s="199"/>
      <c r="GZY208" s="199"/>
      <c r="GZZ208" s="199"/>
      <c r="HAA208" s="199"/>
      <c r="HAB208" s="199"/>
      <c r="HAC208" s="199"/>
      <c r="HAD208" s="199"/>
      <c r="HAE208" s="199"/>
      <c r="HAF208" s="199"/>
      <c r="HAG208" s="199"/>
      <c r="HAH208" s="199"/>
      <c r="HAI208" s="199"/>
      <c r="HAJ208" s="199"/>
      <c r="HAK208" s="199"/>
      <c r="HAL208" s="199"/>
      <c r="HAM208" s="199"/>
      <c r="HAN208" s="199"/>
      <c r="HAO208" s="199"/>
      <c r="HAP208" s="199"/>
      <c r="HAQ208" s="199"/>
      <c r="HAR208" s="199"/>
      <c r="HAS208" s="199"/>
      <c r="HAT208" s="199"/>
      <c r="HAU208" s="199"/>
      <c r="HAV208" s="199"/>
      <c r="HAW208" s="199"/>
      <c r="HAX208" s="199"/>
      <c r="HAY208" s="199"/>
      <c r="HAZ208" s="199"/>
      <c r="HBA208" s="199"/>
      <c r="HBB208" s="199"/>
      <c r="HBC208" s="199"/>
      <c r="HBD208" s="199"/>
      <c r="HBE208" s="199"/>
      <c r="HBF208" s="199"/>
      <c r="HBG208" s="199"/>
      <c r="HBH208" s="199"/>
      <c r="HBI208" s="199"/>
      <c r="HBJ208" s="199"/>
      <c r="HBK208" s="199"/>
      <c r="HBL208" s="199"/>
      <c r="HBM208" s="199"/>
      <c r="HBN208" s="199"/>
      <c r="HBO208" s="199"/>
      <c r="HBP208" s="199"/>
      <c r="HBQ208" s="199"/>
      <c r="HBR208" s="199"/>
      <c r="HBS208" s="199"/>
      <c r="HBT208" s="199"/>
      <c r="HBU208" s="199"/>
      <c r="HBV208" s="199"/>
      <c r="HBW208" s="199"/>
      <c r="HBX208" s="199"/>
      <c r="HBY208" s="199"/>
      <c r="HBZ208" s="199"/>
      <c r="HCA208" s="199"/>
      <c r="HCB208" s="199"/>
      <c r="HCC208" s="199"/>
      <c r="HCD208" s="199"/>
      <c r="HCE208" s="199"/>
      <c r="HCF208" s="199"/>
      <c r="HCG208" s="199"/>
      <c r="HCH208" s="199"/>
      <c r="HCI208" s="199"/>
      <c r="HCJ208" s="199"/>
      <c r="HCK208" s="199"/>
      <c r="HCL208" s="199"/>
      <c r="HCM208" s="199"/>
      <c r="HCN208" s="199"/>
      <c r="HCO208" s="199"/>
      <c r="HCP208" s="199"/>
      <c r="HCQ208" s="199"/>
      <c r="HCR208" s="199"/>
      <c r="HCS208" s="199"/>
      <c r="HCT208" s="199"/>
      <c r="HCU208" s="199"/>
      <c r="HCV208" s="199"/>
      <c r="HCW208" s="199"/>
      <c r="HCX208" s="199"/>
      <c r="HCY208" s="199"/>
      <c r="HCZ208" s="199"/>
      <c r="HDA208" s="199"/>
      <c r="HDB208" s="199"/>
      <c r="HDC208" s="199"/>
      <c r="HDD208" s="199"/>
      <c r="HDE208" s="199"/>
      <c r="HDF208" s="199"/>
      <c r="HDG208" s="199"/>
      <c r="HDH208" s="199"/>
      <c r="HDI208" s="199"/>
      <c r="HDJ208" s="199"/>
      <c r="HDK208" s="199"/>
      <c r="HDL208" s="199"/>
      <c r="HDM208" s="199"/>
      <c r="HDN208" s="199"/>
      <c r="HDO208" s="199"/>
      <c r="HDP208" s="199"/>
      <c r="HDQ208" s="199"/>
      <c r="HDR208" s="199"/>
      <c r="HDS208" s="199"/>
      <c r="HDT208" s="199"/>
      <c r="HDU208" s="199"/>
      <c r="HDV208" s="199"/>
      <c r="HDW208" s="199"/>
      <c r="HDX208" s="199"/>
      <c r="HDY208" s="199"/>
      <c r="HDZ208" s="199"/>
      <c r="HEA208" s="199"/>
      <c r="HEB208" s="199"/>
      <c r="HEC208" s="199"/>
      <c r="HED208" s="199"/>
      <c r="HEE208" s="199"/>
      <c r="HEF208" s="199"/>
      <c r="HEG208" s="199"/>
      <c r="HEH208" s="199"/>
      <c r="HEI208" s="199"/>
      <c r="HEJ208" s="199"/>
      <c r="HEK208" s="199"/>
      <c r="HEL208" s="199"/>
      <c r="HEM208" s="199"/>
      <c r="HEN208" s="199"/>
      <c r="HEO208" s="199"/>
      <c r="HEP208" s="199"/>
      <c r="HEQ208" s="199"/>
      <c r="HER208" s="199"/>
      <c r="HES208" s="199"/>
      <c r="HET208" s="199"/>
      <c r="HEU208" s="199"/>
      <c r="HEV208" s="199"/>
      <c r="HEW208" s="199"/>
      <c r="HEX208" s="199"/>
      <c r="HEY208" s="199"/>
      <c r="HEZ208" s="199"/>
      <c r="HFA208" s="199"/>
      <c r="HFB208" s="199"/>
      <c r="HFC208" s="199"/>
      <c r="HFD208" s="199"/>
      <c r="HFE208" s="199"/>
      <c r="HFF208" s="199"/>
      <c r="HFG208" s="199"/>
      <c r="HFH208" s="199"/>
      <c r="HFI208" s="199"/>
      <c r="HFJ208" s="199"/>
      <c r="HFK208" s="199"/>
      <c r="HFL208" s="199"/>
      <c r="HFM208" s="199"/>
      <c r="HFN208" s="199"/>
      <c r="HFO208" s="199"/>
      <c r="HFP208" s="199"/>
      <c r="HFQ208" s="199"/>
      <c r="HFR208" s="199"/>
      <c r="HFS208" s="199"/>
      <c r="HFT208" s="199"/>
      <c r="HFU208" s="199"/>
      <c r="HFV208" s="199"/>
      <c r="HFW208" s="199"/>
      <c r="HFX208" s="199"/>
      <c r="HFY208" s="199"/>
      <c r="HFZ208" s="199"/>
      <c r="HGA208" s="199"/>
      <c r="HGB208" s="199"/>
      <c r="HGC208" s="199"/>
      <c r="HGD208" s="199"/>
      <c r="HGE208" s="199"/>
      <c r="HGF208" s="199"/>
      <c r="HGG208" s="199"/>
      <c r="HGH208" s="199"/>
      <c r="HGI208" s="199"/>
      <c r="HGJ208" s="199"/>
      <c r="HGK208" s="199"/>
      <c r="HGL208" s="199"/>
      <c r="HGM208" s="199"/>
      <c r="HGN208" s="199"/>
      <c r="HGO208" s="199"/>
      <c r="HGP208" s="199"/>
      <c r="HGQ208" s="199"/>
      <c r="HGR208" s="199"/>
      <c r="HGS208" s="199"/>
      <c r="HGT208" s="199"/>
      <c r="HGU208" s="199"/>
      <c r="HGV208" s="199"/>
      <c r="HGW208" s="199"/>
      <c r="HGX208" s="199"/>
      <c r="HGY208" s="199"/>
      <c r="HGZ208" s="199"/>
      <c r="HHA208" s="199"/>
      <c r="HHB208" s="199"/>
      <c r="HHC208" s="199"/>
      <c r="HHD208" s="199"/>
      <c r="HHE208" s="199"/>
      <c r="HHF208" s="199"/>
      <c r="HHG208" s="199"/>
      <c r="HHH208" s="199"/>
      <c r="HHI208" s="199"/>
      <c r="HHJ208" s="199"/>
      <c r="HHK208" s="199"/>
      <c r="HHL208" s="199"/>
      <c r="HHM208" s="199"/>
      <c r="HHN208" s="199"/>
      <c r="HHO208" s="199"/>
      <c r="HHP208" s="199"/>
      <c r="HHQ208" s="199"/>
      <c r="HHR208" s="199"/>
      <c r="HHS208" s="199"/>
      <c r="HHT208" s="199"/>
      <c r="HHU208" s="199"/>
      <c r="HHV208" s="199"/>
      <c r="HHW208" s="199"/>
      <c r="HHX208" s="199"/>
      <c r="HHY208" s="199"/>
      <c r="HHZ208" s="199"/>
      <c r="HIA208" s="199"/>
      <c r="HIB208" s="199"/>
      <c r="HIC208" s="199"/>
      <c r="HID208" s="199"/>
      <c r="HIE208" s="199"/>
      <c r="HIF208" s="199"/>
      <c r="HIG208" s="199"/>
      <c r="HIH208" s="199"/>
      <c r="HII208" s="199"/>
      <c r="HIJ208" s="199"/>
      <c r="HIK208" s="199"/>
      <c r="HIL208" s="199"/>
      <c r="HIM208" s="199"/>
      <c r="HIN208" s="199"/>
      <c r="HIO208" s="199"/>
      <c r="HIP208" s="199"/>
      <c r="HIQ208" s="199"/>
      <c r="HIR208" s="199"/>
      <c r="HIS208" s="199"/>
      <c r="HIT208" s="199"/>
      <c r="HIU208" s="199"/>
      <c r="HIV208" s="199"/>
      <c r="HIW208" s="199"/>
      <c r="HIX208" s="199"/>
      <c r="HIY208" s="199"/>
      <c r="HIZ208" s="199"/>
      <c r="HJA208" s="199"/>
      <c r="HJB208" s="199"/>
      <c r="HJC208" s="199"/>
      <c r="HJD208" s="199"/>
      <c r="HJE208" s="199"/>
      <c r="HJF208" s="199"/>
      <c r="HJG208" s="199"/>
      <c r="HJH208" s="199"/>
      <c r="HJI208" s="199"/>
      <c r="HJJ208" s="199"/>
      <c r="HJK208" s="199"/>
      <c r="HJL208" s="199"/>
      <c r="HJM208" s="199"/>
      <c r="HJN208" s="199"/>
      <c r="HJO208" s="199"/>
      <c r="HJP208" s="199"/>
      <c r="HJQ208" s="199"/>
      <c r="HJR208" s="199"/>
      <c r="HJS208" s="199"/>
      <c r="HJT208" s="199"/>
      <c r="HJU208" s="199"/>
      <c r="HJV208" s="199"/>
      <c r="HJW208" s="199"/>
      <c r="HJX208" s="199"/>
      <c r="HJY208" s="199"/>
      <c r="HJZ208" s="199"/>
      <c r="HKA208" s="199"/>
      <c r="HKB208" s="199"/>
      <c r="HKC208" s="199"/>
      <c r="HKD208" s="199"/>
      <c r="HKE208" s="199"/>
      <c r="HKF208" s="199"/>
      <c r="HKG208" s="199"/>
      <c r="HKH208" s="199"/>
      <c r="HKI208" s="199"/>
      <c r="HKJ208" s="199"/>
      <c r="HKK208" s="199"/>
      <c r="HKL208" s="199"/>
      <c r="HKM208" s="199"/>
      <c r="HKN208" s="199"/>
      <c r="HKO208" s="199"/>
      <c r="HKP208" s="199"/>
      <c r="HKQ208" s="199"/>
      <c r="HKR208" s="199"/>
      <c r="HKS208" s="199"/>
      <c r="HKT208" s="199"/>
      <c r="HKU208" s="199"/>
      <c r="HKV208" s="199"/>
      <c r="HKW208" s="199"/>
      <c r="HKX208" s="199"/>
      <c r="HKY208" s="199"/>
      <c r="HKZ208" s="199"/>
      <c r="HLA208" s="199"/>
      <c r="HLB208" s="199"/>
      <c r="HLC208" s="199"/>
      <c r="HLD208" s="199"/>
      <c r="HLE208" s="199"/>
      <c r="HLF208" s="199"/>
      <c r="HLG208" s="199"/>
      <c r="HLH208" s="199"/>
      <c r="HLI208" s="199"/>
      <c r="HLJ208" s="199"/>
      <c r="HLK208" s="199"/>
      <c r="HLL208" s="199"/>
      <c r="HLM208" s="199"/>
      <c r="HLN208" s="199"/>
      <c r="HLO208" s="199"/>
      <c r="HLP208" s="199"/>
      <c r="HLQ208" s="199"/>
      <c r="HLR208" s="199"/>
      <c r="HLS208" s="199"/>
      <c r="HLT208" s="199"/>
      <c r="HLU208" s="199"/>
      <c r="HLV208" s="199"/>
      <c r="HLW208" s="199"/>
      <c r="HLX208" s="199"/>
      <c r="HLY208" s="199"/>
      <c r="HLZ208" s="199"/>
      <c r="HMA208" s="199"/>
      <c r="HMB208" s="199"/>
      <c r="HMC208" s="199"/>
      <c r="HMD208" s="199"/>
      <c r="HME208" s="199"/>
      <c r="HMF208" s="199"/>
      <c r="HMG208" s="199"/>
      <c r="HMH208" s="199"/>
      <c r="HMI208" s="199"/>
      <c r="HMJ208" s="199"/>
      <c r="HMK208" s="199"/>
      <c r="HML208" s="199"/>
      <c r="HMM208" s="199"/>
      <c r="HMN208" s="199"/>
      <c r="HMO208" s="199"/>
      <c r="HMP208" s="199"/>
      <c r="HMQ208" s="199"/>
      <c r="HMR208" s="199"/>
      <c r="HMS208" s="199"/>
      <c r="HMT208" s="199"/>
      <c r="HMU208" s="199"/>
      <c r="HMV208" s="199"/>
      <c r="HMW208" s="199"/>
      <c r="HMX208" s="199"/>
      <c r="HMY208" s="199"/>
      <c r="HMZ208" s="199"/>
      <c r="HNA208" s="199"/>
      <c r="HNB208" s="199"/>
      <c r="HNC208" s="199"/>
      <c r="HND208" s="199"/>
      <c r="HNE208" s="199"/>
      <c r="HNF208" s="199"/>
      <c r="HNG208" s="199"/>
      <c r="HNH208" s="199"/>
      <c r="HNI208" s="199"/>
      <c r="HNJ208" s="199"/>
      <c r="HNK208" s="199"/>
      <c r="HNL208" s="199"/>
      <c r="HNM208" s="199"/>
      <c r="HNN208" s="199"/>
      <c r="HNO208" s="199"/>
      <c r="HNP208" s="199"/>
      <c r="HNQ208" s="199"/>
      <c r="HNR208" s="199"/>
      <c r="HNS208" s="199"/>
      <c r="HNT208" s="199"/>
      <c r="HNU208" s="199"/>
      <c r="HNV208" s="199"/>
      <c r="HNW208" s="199"/>
      <c r="HNX208" s="199"/>
      <c r="HNY208" s="199"/>
      <c r="HNZ208" s="199"/>
      <c r="HOA208" s="199"/>
      <c r="HOB208" s="199"/>
      <c r="HOC208" s="199"/>
      <c r="HOD208" s="199"/>
      <c r="HOE208" s="199"/>
      <c r="HOF208" s="199"/>
      <c r="HOG208" s="199"/>
      <c r="HOH208" s="199"/>
      <c r="HOI208" s="199"/>
      <c r="HOJ208" s="199"/>
      <c r="HOK208" s="199"/>
      <c r="HOL208" s="199"/>
      <c r="HOM208" s="199"/>
      <c r="HON208" s="199"/>
      <c r="HOO208" s="199"/>
      <c r="HOP208" s="199"/>
      <c r="HOQ208" s="199"/>
      <c r="HOR208" s="199"/>
      <c r="HOS208" s="199"/>
      <c r="HOT208" s="199"/>
      <c r="HOU208" s="199"/>
      <c r="HOV208" s="199"/>
      <c r="HOW208" s="199"/>
      <c r="HOX208" s="199"/>
      <c r="HOY208" s="199"/>
      <c r="HOZ208" s="199"/>
      <c r="HPA208" s="199"/>
      <c r="HPB208" s="199"/>
      <c r="HPC208" s="199"/>
      <c r="HPD208" s="199"/>
      <c r="HPE208" s="199"/>
      <c r="HPF208" s="199"/>
      <c r="HPG208" s="199"/>
      <c r="HPH208" s="199"/>
      <c r="HPI208" s="199"/>
      <c r="HPJ208" s="199"/>
      <c r="HPK208" s="199"/>
      <c r="HPL208" s="199"/>
      <c r="HPM208" s="199"/>
      <c r="HPN208" s="199"/>
      <c r="HPO208" s="199"/>
      <c r="HPP208" s="199"/>
      <c r="HPQ208" s="199"/>
      <c r="HPR208" s="199"/>
      <c r="HPS208" s="199"/>
      <c r="HPT208" s="199"/>
      <c r="HPU208" s="199"/>
      <c r="HPV208" s="199"/>
      <c r="HPW208" s="199"/>
      <c r="HPX208" s="199"/>
      <c r="HPY208" s="199"/>
      <c r="HPZ208" s="199"/>
      <c r="HQA208" s="199"/>
      <c r="HQB208" s="199"/>
      <c r="HQC208" s="199"/>
      <c r="HQD208" s="199"/>
      <c r="HQE208" s="199"/>
      <c r="HQF208" s="199"/>
      <c r="HQG208" s="199"/>
      <c r="HQH208" s="199"/>
      <c r="HQI208" s="199"/>
      <c r="HQJ208" s="199"/>
      <c r="HQK208" s="199"/>
      <c r="HQL208" s="199"/>
      <c r="HQM208" s="199"/>
      <c r="HQN208" s="199"/>
      <c r="HQO208" s="199"/>
      <c r="HQP208" s="199"/>
      <c r="HQQ208" s="199"/>
      <c r="HQR208" s="199"/>
      <c r="HQS208" s="199"/>
      <c r="HQT208" s="199"/>
      <c r="HQU208" s="199"/>
      <c r="HQV208" s="199"/>
      <c r="HQW208" s="199"/>
      <c r="HQX208" s="199"/>
      <c r="HQY208" s="199"/>
      <c r="HQZ208" s="199"/>
      <c r="HRA208" s="199"/>
      <c r="HRB208" s="199"/>
      <c r="HRC208" s="199"/>
      <c r="HRD208" s="199"/>
      <c r="HRE208" s="199"/>
      <c r="HRF208" s="199"/>
      <c r="HRG208" s="199"/>
      <c r="HRH208" s="199"/>
      <c r="HRI208" s="199"/>
      <c r="HRJ208" s="199"/>
      <c r="HRK208" s="199"/>
      <c r="HRL208" s="199"/>
      <c r="HRM208" s="199"/>
      <c r="HRN208" s="199"/>
      <c r="HRO208" s="199"/>
      <c r="HRP208" s="199"/>
      <c r="HRQ208" s="199"/>
      <c r="HRR208" s="199"/>
      <c r="HRS208" s="199"/>
      <c r="HRT208" s="199"/>
      <c r="HRU208" s="199"/>
      <c r="HRV208" s="199"/>
      <c r="HRW208" s="199"/>
      <c r="HRX208" s="199"/>
      <c r="HRY208" s="199"/>
      <c r="HRZ208" s="199"/>
      <c r="HSA208" s="199"/>
      <c r="HSB208" s="199"/>
      <c r="HSC208" s="199"/>
      <c r="HSD208" s="199"/>
      <c r="HSE208" s="199"/>
      <c r="HSF208" s="199"/>
      <c r="HSG208" s="199"/>
      <c r="HSH208" s="199"/>
      <c r="HSI208" s="199"/>
      <c r="HSJ208" s="199"/>
      <c r="HSK208" s="199"/>
      <c r="HSL208" s="199"/>
      <c r="HSM208" s="199"/>
      <c r="HSN208" s="199"/>
      <c r="HSO208" s="199"/>
      <c r="HSP208" s="199"/>
      <c r="HSQ208" s="199"/>
      <c r="HSR208" s="199"/>
      <c r="HSS208" s="199"/>
      <c r="HST208" s="199"/>
      <c r="HSU208" s="199"/>
      <c r="HSV208" s="199"/>
      <c r="HSW208" s="199"/>
      <c r="HSX208" s="199"/>
      <c r="HSY208" s="199"/>
      <c r="HSZ208" s="199"/>
      <c r="HTA208" s="199"/>
      <c r="HTB208" s="199"/>
      <c r="HTC208" s="199"/>
      <c r="HTD208" s="199"/>
      <c r="HTE208" s="199"/>
      <c r="HTF208" s="199"/>
      <c r="HTG208" s="199"/>
      <c r="HTH208" s="199"/>
      <c r="HTI208" s="199"/>
      <c r="HTJ208" s="199"/>
      <c r="HTK208" s="199"/>
      <c r="HTL208" s="199"/>
      <c r="HTM208" s="199"/>
      <c r="HTN208" s="199"/>
      <c r="HTO208" s="199"/>
      <c r="HTP208" s="199"/>
      <c r="HTQ208" s="199"/>
      <c r="HTR208" s="199"/>
      <c r="HTS208" s="199"/>
      <c r="HTT208" s="199"/>
      <c r="HTU208" s="199"/>
      <c r="HTV208" s="199"/>
      <c r="HTW208" s="199"/>
      <c r="HTX208" s="199"/>
      <c r="HTY208" s="199"/>
      <c r="HTZ208" s="199"/>
      <c r="HUA208" s="199"/>
      <c r="HUB208" s="199"/>
      <c r="HUC208" s="199"/>
      <c r="HUD208" s="199"/>
      <c r="HUE208" s="199"/>
      <c r="HUF208" s="199"/>
      <c r="HUG208" s="199"/>
      <c r="HUH208" s="199"/>
      <c r="HUI208" s="199"/>
      <c r="HUJ208" s="199"/>
      <c r="HUK208" s="199"/>
      <c r="HUL208" s="199"/>
      <c r="HUM208" s="199"/>
      <c r="HUN208" s="199"/>
      <c r="HUO208" s="199"/>
      <c r="HUP208" s="199"/>
      <c r="HUQ208" s="199"/>
      <c r="HUR208" s="199"/>
      <c r="HUS208" s="199"/>
      <c r="HUT208" s="199"/>
      <c r="HUU208" s="199"/>
      <c r="HUV208" s="199"/>
      <c r="HUW208" s="199"/>
      <c r="HUX208" s="199"/>
      <c r="HUY208" s="199"/>
      <c r="HUZ208" s="199"/>
      <c r="HVA208" s="199"/>
      <c r="HVB208" s="199"/>
      <c r="HVC208" s="199"/>
      <c r="HVD208" s="199"/>
      <c r="HVE208" s="199"/>
      <c r="HVF208" s="199"/>
      <c r="HVG208" s="199"/>
      <c r="HVH208" s="199"/>
      <c r="HVI208" s="199"/>
      <c r="HVJ208" s="199"/>
      <c r="HVK208" s="199"/>
      <c r="HVL208" s="199"/>
      <c r="HVM208" s="199"/>
      <c r="HVN208" s="199"/>
      <c r="HVO208" s="199"/>
      <c r="HVP208" s="199"/>
      <c r="HVQ208" s="199"/>
      <c r="HVR208" s="199"/>
      <c r="HVS208" s="199"/>
      <c r="HVT208" s="199"/>
      <c r="HVU208" s="199"/>
      <c r="HVV208" s="199"/>
      <c r="HVW208" s="199"/>
      <c r="HVX208" s="199"/>
      <c r="HVY208" s="199"/>
      <c r="HVZ208" s="199"/>
      <c r="HWA208" s="199"/>
      <c r="HWB208" s="199"/>
      <c r="HWC208" s="199"/>
      <c r="HWD208" s="199"/>
      <c r="HWE208" s="199"/>
      <c r="HWF208" s="199"/>
      <c r="HWG208" s="199"/>
      <c r="HWH208" s="199"/>
      <c r="HWI208" s="199"/>
      <c r="HWJ208" s="199"/>
      <c r="HWK208" s="199"/>
      <c r="HWL208" s="199"/>
      <c r="HWM208" s="199"/>
      <c r="HWN208" s="199"/>
      <c r="HWO208" s="199"/>
      <c r="HWP208" s="199"/>
      <c r="HWQ208" s="199"/>
      <c r="HWR208" s="199"/>
      <c r="HWS208" s="199"/>
      <c r="HWT208" s="199"/>
      <c r="HWU208" s="199"/>
      <c r="HWV208" s="199"/>
      <c r="HWW208" s="199"/>
      <c r="HWX208" s="199"/>
      <c r="HWY208" s="199"/>
      <c r="HWZ208" s="199"/>
      <c r="HXA208" s="199"/>
      <c r="HXB208" s="199"/>
      <c r="HXC208" s="199"/>
      <c r="HXD208" s="199"/>
      <c r="HXE208" s="199"/>
      <c r="HXF208" s="199"/>
      <c r="HXG208" s="199"/>
      <c r="HXH208" s="199"/>
      <c r="HXI208" s="199"/>
      <c r="HXJ208" s="199"/>
      <c r="HXK208" s="199"/>
      <c r="HXL208" s="199"/>
      <c r="HXM208" s="199"/>
      <c r="HXN208" s="199"/>
      <c r="HXO208" s="199"/>
      <c r="HXP208" s="199"/>
      <c r="HXQ208" s="199"/>
      <c r="HXR208" s="199"/>
      <c r="HXS208" s="199"/>
      <c r="HXT208" s="199"/>
      <c r="HXU208" s="199"/>
      <c r="HXV208" s="199"/>
      <c r="HXW208" s="199"/>
      <c r="HXX208" s="199"/>
      <c r="HXY208" s="199"/>
      <c r="HXZ208" s="199"/>
      <c r="HYA208" s="199"/>
      <c r="HYB208" s="199"/>
      <c r="HYC208" s="199"/>
      <c r="HYD208" s="199"/>
      <c r="HYE208" s="199"/>
      <c r="HYF208" s="199"/>
      <c r="HYG208" s="199"/>
      <c r="HYH208" s="199"/>
      <c r="HYI208" s="199"/>
      <c r="HYJ208" s="199"/>
      <c r="HYK208" s="199"/>
      <c r="HYL208" s="199"/>
      <c r="HYM208" s="199"/>
      <c r="HYN208" s="199"/>
      <c r="HYO208" s="199"/>
      <c r="HYP208" s="199"/>
      <c r="HYQ208" s="199"/>
      <c r="HYR208" s="199"/>
      <c r="HYS208" s="199"/>
      <c r="HYT208" s="199"/>
      <c r="HYU208" s="199"/>
      <c r="HYV208" s="199"/>
      <c r="HYW208" s="199"/>
      <c r="HYX208" s="199"/>
      <c r="HYY208" s="199"/>
      <c r="HYZ208" s="199"/>
      <c r="HZA208" s="199"/>
      <c r="HZB208" s="199"/>
      <c r="HZC208" s="199"/>
      <c r="HZD208" s="199"/>
      <c r="HZE208" s="199"/>
      <c r="HZF208" s="199"/>
      <c r="HZG208" s="199"/>
      <c r="HZH208" s="199"/>
      <c r="HZI208" s="199"/>
      <c r="HZJ208" s="199"/>
      <c r="HZK208" s="199"/>
      <c r="HZL208" s="199"/>
      <c r="HZM208" s="199"/>
      <c r="HZN208" s="199"/>
      <c r="HZO208" s="199"/>
      <c r="HZP208" s="199"/>
      <c r="HZQ208" s="199"/>
      <c r="HZR208" s="199"/>
      <c r="HZS208" s="199"/>
      <c r="HZT208" s="199"/>
      <c r="HZU208" s="199"/>
      <c r="HZV208" s="199"/>
      <c r="HZW208" s="199"/>
      <c r="HZX208" s="199"/>
      <c r="HZY208" s="199"/>
      <c r="HZZ208" s="199"/>
      <c r="IAA208" s="199"/>
      <c r="IAB208" s="199"/>
      <c r="IAC208" s="199"/>
      <c r="IAD208" s="199"/>
      <c r="IAE208" s="199"/>
      <c r="IAF208" s="199"/>
      <c r="IAG208" s="199"/>
      <c r="IAH208" s="199"/>
      <c r="IAI208" s="199"/>
      <c r="IAJ208" s="199"/>
      <c r="IAK208" s="199"/>
      <c r="IAL208" s="199"/>
      <c r="IAM208" s="199"/>
      <c r="IAN208" s="199"/>
      <c r="IAO208" s="199"/>
      <c r="IAP208" s="199"/>
      <c r="IAQ208" s="199"/>
      <c r="IAR208" s="199"/>
      <c r="IAS208" s="199"/>
      <c r="IAT208" s="199"/>
      <c r="IAU208" s="199"/>
      <c r="IAV208" s="199"/>
      <c r="IAW208" s="199"/>
      <c r="IAX208" s="199"/>
      <c r="IAY208" s="199"/>
      <c r="IAZ208" s="199"/>
      <c r="IBA208" s="199"/>
      <c r="IBB208" s="199"/>
      <c r="IBC208" s="199"/>
      <c r="IBD208" s="199"/>
      <c r="IBE208" s="199"/>
      <c r="IBF208" s="199"/>
      <c r="IBG208" s="199"/>
      <c r="IBH208" s="199"/>
      <c r="IBI208" s="199"/>
      <c r="IBJ208" s="199"/>
      <c r="IBK208" s="199"/>
      <c r="IBL208" s="199"/>
      <c r="IBM208" s="199"/>
      <c r="IBN208" s="199"/>
      <c r="IBO208" s="199"/>
      <c r="IBP208" s="199"/>
      <c r="IBQ208" s="199"/>
      <c r="IBR208" s="199"/>
      <c r="IBS208" s="199"/>
      <c r="IBT208" s="199"/>
      <c r="IBU208" s="199"/>
      <c r="IBV208" s="199"/>
      <c r="IBW208" s="199"/>
      <c r="IBX208" s="199"/>
      <c r="IBY208" s="199"/>
      <c r="IBZ208" s="199"/>
      <c r="ICA208" s="199"/>
      <c r="ICB208" s="199"/>
      <c r="ICC208" s="199"/>
      <c r="ICD208" s="199"/>
      <c r="ICE208" s="199"/>
      <c r="ICF208" s="199"/>
      <c r="ICG208" s="199"/>
      <c r="ICH208" s="199"/>
      <c r="ICI208" s="199"/>
      <c r="ICJ208" s="199"/>
      <c r="ICK208" s="199"/>
      <c r="ICL208" s="199"/>
      <c r="ICM208" s="199"/>
      <c r="ICN208" s="199"/>
      <c r="ICO208" s="199"/>
      <c r="ICP208" s="199"/>
      <c r="ICQ208" s="199"/>
      <c r="ICR208" s="199"/>
      <c r="ICS208" s="199"/>
      <c r="ICT208" s="199"/>
      <c r="ICU208" s="199"/>
      <c r="ICV208" s="199"/>
      <c r="ICW208" s="199"/>
      <c r="ICX208" s="199"/>
      <c r="ICY208" s="199"/>
      <c r="ICZ208" s="199"/>
      <c r="IDA208" s="199"/>
      <c r="IDB208" s="199"/>
      <c r="IDC208" s="199"/>
      <c r="IDD208" s="199"/>
      <c r="IDE208" s="199"/>
      <c r="IDF208" s="199"/>
      <c r="IDG208" s="199"/>
      <c r="IDH208" s="199"/>
      <c r="IDI208" s="199"/>
      <c r="IDJ208" s="199"/>
      <c r="IDK208" s="199"/>
      <c r="IDL208" s="199"/>
      <c r="IDM208" s="199"/>
      <c r="IDN208" s="199"/>
      <c r="IDO208" s="199"/>
      <c r="IDP208" s="199"/>
      <c r="IDQ208" s="199"/>
      <c r="IDR208" s="199"/>
      <c r="IDS208" s="199"/>
      <c r="IDT208" s="199"/>
      <c r="IDU208" s="199"/>
      <c r="IDV208" s="199"/>
      <c r="IDW208" s="199"/>
      <c r="IDX208" s="199"/>
      <c r="IDY208" s="199"/>
      <c r="IDZ208" s="199"/>
      <c r="IEA208" s="199"/>
      <c r="IEB208" s="199"/>
      <c r="IEC208" s="199"/>
      <c r="IED208" s="199"/>
      <c r="IEE208" s="199"/>
      <c r="IEF208" s="199"/>
      <c r="IEG208" s="199"/>
      <c r="IEH208" s="199"/>
      <c r="IEI208" s="199"/>
      <c r="IEJ208" s="199"/>
      <c r="IEK208" s="199"/>
      <c r="IEL208" s="199"/>
      <c r="IEM208" s="199"/>
      <c r="IEN208" s="199"/>
      <c r="IEO208" s="199"/>
      <c r="IEP208" s="199"/>
      <c r="IEQ208" s="199"/>
      <c r="IER208" s="199"/>
      <c r="IES208" s="199"/>
      <c r="IET208" s="199"/>
      <c r="IEU208" s="199"/>
      <c r="IEV208" s="199"/>
      <c r="IEW208" s="199"/>
      <c r="IEX208" s="199"/>
      <c r="IEY208" s="199"/>
      <c r="IEZ208" s="199"/>
      <c r="IFA208" s="199"/>
      <c r="IFB208" s="199"/>
      <c r="IFC208" s="199"/>
      <c r="IFD208" s="199"/>
      <c r="IFE208" s="199"/>
      <c r="IFF208" s="199"/>
      <c r="IFG208" s="199"/>
      <c r="IFH208" s="199"/>
      <c r="IFI208" s="199"/>
      <c r="IFJ208" s="199"/>
      <c r="IFK208" s="199"/>
      <c r="IFL208" s="199"/>
      <c r="IFM208" s="199"/>
      <c r="IFN208" s="199"/>
      <c r="IFO208" s="199"/>
      <c r="IFP208" s="199"/>
      <c r="IFQ208" s="199"/>
      <c r="IFR208" s="199"/>
      <c r="IFS208" s="199"/>
      <c r="IFT208" s="199"/>
      <c r="IFU208" s="199"/>
      <c r="IFV208" s="199"/>
      <c r="IFW208" s="199"/>
      <c r="IFX208" s="199"/>
      <c r="IFY208" s="199"/>
      <c r="IFZ208" s="199"/>
      <c r="IGA208" s="199"/>
      <c r="IGB208" s="199"/>
      <c r="IGC208" s="199"/>
      <c r="IGD208" s="199"/>
      <c r="IGE208" s="199"/>
      <c r="IGF208" s="199"/>
      <c r="IGG208" s="199"/>
      <c r="IGH208" s="199"/>
      <c r="IGI208" s="199"/>
      <c r="IGJ208" s="199"/>
      <c r="IGK208" s="199"/>
      <c r="IGL208" s="199"/>
      <c r="IGM208" s="199"/>
      <c r="IGN208" s="199"/>
      <c r="IGO208" s="199"/>
      <c r="IGP208" s="199"/>
      <c r="IGQ208" s="199"/>
      <c r="IGR208" s="199"/>
      <c r="IGS208" s="199"/>
      <c r="IGT208" s="199"/>
      <c r="IGU208" s="199"/>
      <c r="IGV208" s="199"/>
      <c r="IGW208" s="199"/>
      <c r="IGX208" s="199"/>
      <c r="IGY208" s="199"/>
      <c r="IGZ208" s="199"/>
      <c r="IHA208" s="199"/>
      <c r="IHB208" s="199"/>
      <c r="IHC208" s="199"/>
      <c r="IHD208" s="199"/>
      <c r="IHE208" s="199"/>
      <c r="IHF208" s="199"/>
      <c r="IHG208" s="199"/>
      <c r="IHH208" s="199"/>
      <c r="IHI208" s="199"/>
      <c r="IHJ208" s="199"/>
      <c r="IHK208" s="199"/>
      <c r="IHL208" s="199"/>
      <c r="IHM208" s="199"/>
      <c r="IHN208" s="199"/>
      <c r="IHO208" s="199"/>
      <c r="IHP208" s="199"/>
      <c r="IHQ208" s="199"/>
      <c r="IHR208" s="199"/>
      <c r="IHS208" s="199"/>
      <c r="IHT208" s="199"/>
      <c r="IHU208" s="199"/>
      <c r="IHV208" s="199"/>
      <c r="IHW208" s="199"/>
      <c r="IHX208" s="199"/>
      <c r="IHY208" s="199"/>
      <c r="IHZ208" s="199"/>
      <c r="IIA208" s="199"/>
      <c r="IIB208" s="199"/>
      <c r="IIC208" s="199"/>
      <c r="IID208" s="199"/>
      <c r="IIE208" s="199"/>
      <c r="IIF208" s="199"/>
      <c r="IIG208" s="199"/>
      <c r="IIH208" s="199"/>
      <c r="III208" s="199"/>
      <c r="IIJ208" s="199"/>
      <c r="IIK208" s="199"/>
      <c r="IIL208" s="199"/>
      <c r="IIM208" s="199"/>
      <c r="IIN208" s="199"/>
      <c r="IIO208" s="199"/>
      <c r="IIP208" s="199"/>
      <c r="IIQ208" s="199"/>
      <c r="IIR208" s="199"/>
      <c r="IIS208" s="199"/>
      <c r="IIT208" s="199"/>
      <c r="IIU208" s="199"/>
      <c r="IIV208" s="199"/>
      <c r="IIW208" s="199"/>
      <c r="IIX208" s="199"/>
      <c r="IIY208" s="199"/>
      <c r="IIZ208" s="199"/>
      <c r="IJA208" s="199"/>
      <c r="IJB208" s="199"/>
      <c r="IJC208" s="199"/>
      <c r="IJD208" s="199"/>
      <c r="IJE208" s="199"/>
      <c r="IJF208" s="199"/>
      <c r="IJG208" s="199"/>
      <c r="IJH208" s="199"/>
      <c r="IJI208" s="199"/>
      <c r="IJJ208" s="199"/>
      <c r="IJK208" s="199"/>
      <c r="IJL208" s="199"/>
      <c r="IJM208" s="199"/>
      <c r="IJN208" s="199"/>
      <c r="IJO208" s="199"/>
      <c r="IJP208" s="199"/>
      <c r="IJQ208" s="199"/>
      <c r="IJR208" s="199"/>
      <c r="IJS208" s="199"/>
      <c r="IJT208" s="199"/>
      <c r="IJU208" s="199"/>
      <c r="IJV208" s="199"/>
      <c r="IJW208" s="199"/>
      <c r="IJX208" s="199"/>
      <c r="IJY208" s="199"/>
      <c r="IJZ208" s="199"/>
      <c r="IKA208" s="199"/>
      <c r="IKB208" s="199"/>
      <c r="IKC208" s="199"/>
      <c r="IKD208" s="199"/>
      <c r="IKE208" s="199"/>
      <c r="IKF208" s="199"/>
      <c r="IKG208" s="199"/>
      <c r="IKH208" s="199"/>
      <c r="IKI208" s="199"/>
      <c r="IKJ208" s="199"/>
      <c r="IKK208" s="199"/>
      <c r="IKL208" s="199"/>
      <c r="IKM208" s="199"/>
      <c r="IKN208" s="199"/>
      <c r="IKO208" s="199"/>
      <c r="IKP208" s="199"/>
      <c r="IKQ208" s="199"/>
      <c r="IKR208" s="199"/>
      <c r="IKS208" s="199"/>
      <c r="IKT208" s="199"/>
      <c r="IKU208" s="199"/>
      <c r="IKV208" s="199"/>
      <c r="IKW208" s="199"/>
      <c r="IKX208" s="199"/>
      <c r="IKY208" s="199"/>
      <c r="IKZ208" s="199"/>
      <c r="ILA208" s="199"/>
      <c r="ILB208" s="199"/>
      <c r="ILC208" s="199"/>
      <c r="ILD208" s="199"/>
      <c r="ILE208" s="199"/>
      <c r="ILF208" s="199"/>
      <c r="ILG208" s="199"/>
      <c r="ILH208" s="199"/>
      <c r="ILI208" s="199"/>
      <c r="ILJ208" s="199"/>
      <c r="ILK208" s="199"/>
      <c r="ILL208" s="199"/>
      <c r="ILM208" s="199"/>
      <c r="ILN208" s="199"/>
      <c r="ILO208" s="199"/>
      <c r="ILP208" s="199"/>
      <c r="ILQ208" s="199"/>
      <c r="ILR208" s="199"/>
      <c r="ILS208" s="199"/>
      <c r="ILT208" s="199"/>
      <c r="ILU208" s="199"/>
      <c r="ILV208" s="199"/>
      <c r="ILW208" s="199"/>
      <c r="ILX208" s="199"/>
      <c r="ILY208" s="199"/>
      <c r="ILZ208" s="199"/>
      <c r="IMA208" s="199"/>
      <c r="IMB208" s="199"/>
      <c r="IMC208" s="199"/>
      <c r="IMD208" s="199"/>
      <c r="IME208" s="199"/>
      <c r="IMF208" s="199"/>
      <c r="IMG208" s="199"/>
      <c r="IMH208" s="199"/>
      <c r="IMI208" s="199"/>
      <c r="IMJ208" s="199"/>
      <c r="IMK208" s="199"/>
      <c r="IML208" s="199"/>
      <c r="IMM208" s="199"/>
      <c r="IMN208" s="199"/>
      <c r="IMO208" s="199"/>
      <c r="IMP208" s="199"/>
      <c r="IMQ208" s="199"/>
      <c r="IMR208" s="199"/>
      <c r="IMS208" s="199"/>
      <c r="IMT208" s="199"/>
      <c r="IMU208" s="199"/>
      <c r="IMV208" s="199"/>
      <c r="IMW208" s="199"/>
      <c r="IMX208" s="199"/>
      <c r="IMY208" s="199"/>
      <c r="IMZ208" s="199"/>
      <c r="INA208" s="199"/>
      <c r="INB208" s="199"/>
      <c r="INC208" s="199"/>
      <c r="IND208" s="199"/>
      <c r="INE208" s="199"/>
      <c r="INF208" s="199"/>
      <c r="ING208" s="199"/>
      <c r="INH208" s="199"/>
      <c r="INI208" s="199"/>
      <c r="INJ208" s="199"/>
      <c r="INK208" s="199"/>
      <c r="INL208" s="199"/>
      <c r="INM208" s="199"/>
      <c r="INN208" s="199"/>
      <c r="INO208" s="199"/>
      <c r="INP208" s="199"/>
      <c r="INQ208" s="199"/>
      <c r="INR208" s="199"/>
      <c r="INS208" s="199"/>
      <c r="INT208" s="199"/>
      <c r="INU208" s="199"/>
      <c r="INV208" s="199"/>
      <c r="INW208" s="199"/>
      <c r="INX208" s="199"/>
      <c r="INY208" s="199"/>
      <c r="INZ208" s="199"/>
      <c r="IOA208" s="199"/>
      <c r="IOB208" s="199"/>
      <c r="IOC208" s="199"/>
      <c r="IOD208" s="199"/>
      <c r="IOE208" s="199"/>
      <c r="IOF208" s="199"/>
      <c r="IOG208" s="199"/>
      <c r="IOH208" s="199"/>
      <c r="IOI208" s="199"/>
      <c r="IOJ208" s="199"/>
      <c r="IOK208" s="199"/>
      <c r="IOL208" s="199"/>
      <c r="IOM208" s="199"/>
      <c r="ION208" s="199"/>
      <c r="IOO208" s="199"/>
      <c r="IOP208" s="199"/>
      <c r="IOQ208" s="199"/>
      <c r="IOR208" s="199"/>
      <c r="IOS208" s="199"/>
      <c r="IOT208" s="199"/>
      <c r="IOU208" s="199"/>
      <c r="IOV208" s="199"/>
      <c r="IOW208" s="199"/>
      <c r="IOX208" s="199"/>
      <c r="IOY208" s="199"/>
      <c r="IOZ208" s="199"/>
      <c r="IPA208" s="199"/>
      <c r="IPB208" s="199"/>
      <c r="IPC208" s="199"/>
      <c r="IPD208" s="199"/>
      <c r="IPE208" s="199"/>
      <c r="IPF208" s="199"/>
      <c r="IPG208" s="199"/>
      <c r="IPH208" s="199"/>
      <c r="IPI208" s="199"/>
      <c r="IPJ208" s="199"/>
      <c r="IPK208" s="199"/>
      <c r="IPL208" s="199"/>
      <c r="IPM208" s="199"/>
      <c r="IPN208" s="199"/>
      <c r="IPO208" s="199"/>
      <c r="IPP208" s="199"/>
      <c r="IPQ208" s="199"/>
      <c r="IPR208" s="199"/>
      <c r="IPS208" s="199"/>
      <c r="IPT208" s="199"/>
      <c r="IPU208" s="199"/>
      <c r="IPV208" s="199"/>
      <c r="IPW208" s="199"/>
      <c r="IPX208" s="199"/>
      <c r="IPY208" s="199"/>
      <c r="IPZ208" s="199"/>
      <c r="IQA208" s="199"/>
      <c r="IQB208" s="199"/>
      <c r="IQC208" s="199"/>
      <c r="IQD208" s="199"/>
      <c r="IQE208" s="199"/>
      <c r="IQF208" s="199"/>
      <c r="IQG208" s="199"/>
      <c r="IQH208" s="199"/>
      <c r="IQI208" s="199"/>
      <c r="IQJ208" s="199"/>
      <c r="IQK208" s="199"/>
      <c r="IQL208" s="199"/>
      <c r="IQM208" s="199"/>
      <c r="IQN208" s="199"/>
      <c r="IQO208" s="199"/>
      <c r="IQP208" s="199"/>
      <c r="IQQ208" s="199"/>
      <c r="IQR208" s="199"/>
      <c r="IQS208" s="199"/>
      <c r="IQT208" s="199"/>
      <c r="IQU208" s="199"/>
      <c r="IQV208" s="199"/>
      <c r="IQW208" s="199"/>
      <c r="IQX208" s="199"/>
      <c r="IQY208" s="199"/>
      <c r="IQZ208" s="199"/>
      <c r="IRA208" s="199"/>
      <c r="IRB208" s="199"/>
      <c r="IRC208" s="199"/>
      <c r="IRD208" s="199"/>
      <c r="IRE208" s="199"/>
      <c r="IRF208" s="199"/>
      <c r="IRG208" s="199"/>
      <c r="IRH208" s="199"/>
      <c r="IRI208" s="199"/>
      <c r="IRJ208" s="199"/>
      <c r="IRK208" s="199"/>
      <c r="IRL208" s="199"/>
      <c r="IRM208" s="199"/>
      <c r="IRN208" s="199"/>
      <c r="IRO208" s="199"/>
      <c r="IRP208" s="199"/>
      <c r="IRQ208" s="199"/>
      <c r="IRR208" s="199"/>
      <c r="IRS208" s="199"/>
      <c r="IRT208" s="199"/>
      <c r="IRU208" s="199"/>
      <c r="IRV208" s="199"/>
      <c r="IRW208" s="199"/>
      <c r="IRX208" s="199"/>
      <c r="IRY208" s="199"/>
      <c r="IRZ208" s="199"/>
      <c r="ISA208" s="199"/>
      <c r="ISB208" s="199"/>
      <c r="ISC208" s="199"/>
      <c r="ISD208" s="199"/>
      <c r="ISE208" s="199"/>
      <c r="ISF208" s="199"/>
      <c r="ISG208" s="199"/>
      <c r="ISH208" s="199"/>
      <c r="ISI208" s="199"/>
      <c r="ISJ208" s="199"/>
      <c r="ISK208" s="199"/>
      <c r="ISL208" s="199"/>
      <c r="ISM208" s="199"/>
      <c r="ISN208" s="199"/>
      <c r="ISO208" s="199"/>
      <c r="ISP208" s="199"/>
      <c r="ISQ208" s="199"/>
      <c r="ISR208" s="199"/>
      <c r="ISS208" s="199"/>
      <c r="IST208" s="199"/>
      <c r="ISU208" s="199"/>
      <c r="ISV208" s="199"/>
      <c r="ISW208" s="199"/>
      <c r="ISX208" s="199"/>
      <c r="ISY208" s="199"/>
      <c r="ISZ208" s="199"/>
      <c r="ITA208" s="199"/>
      <c r="ITB208" s="199"/>
      <c r="ITC208" s="199"/>
      <c r="ITD208" s="199"/>
      <c r="ITE208" s="199"/>
      <c r="ITF208" s="199"/>
      <c r="ITG208" s="199"/>
      <c r="ITH208" s="199"/>
      <c r="ITI208" s="199"/>
      <c r="ITJ208" s="199"/>
      <c r="ITK208" s="199"/>
      <c r="ITL208" s="199"/>
      <c r="ITM208" s="199"/>
      <c r="ITN208" s="199"/>
      <c r="ITO208" s="199"/>
      <c r="ITP208" s="199"/>
      <c r="ITQ208" s="199"/>
      <c r="ITR208" s="199"/>
      <c r="ITS208" s="199"/>
      <c r="ITT208" s="199"/>
      <c r="ITU208" s="199"/>
      <c r="ITV208" s="199"/>
      <c r="ITW208" s="199"/>
      <c r="ITX208" s="199"/>
      <c r="ITY208" s="199"/>
      <c r="ITZ208" s="199"/>
      <c r="IUA208" s="199"/>
      <c r="IUB208" s="199"/>
      <c r="IUC208" s="199"/>
      <c r="IUD208" s="199"/>
      <c r="IUE208" s="199"/>
      <c r="IUF208" s="199"/>
      <c r="IUG208" s="199"/>
      <c r="IUH208" s="199"/>
      <c r="IUI208" s="199"/>
      <c r="IUJ208" s="199"/>
      <c r="IUK208" s="199"/>
      <c r="IUL208" s="199"/>
      <c r="IUM208" s="199"/>
      <c r="IUN208" s="199"/>
      <c r="IUO208" s="199"/>
      <c r="IUP208" s="199"/>
      <c r="IUQ208" s="199"/>
      <c r="IUR208" s="199"/>
      <c r="IUS208" s="199"/>
      <c r="IUT208" s="199"/>
      <c r="IUU208" s="199"/>
      <c r="IUV208" s="199"/>
      <c r="IUW208" s="199"/>
      <c r="IUX208" s="199"/>
      <c r="IUY208" s="199"/>
      <c r="IUZ208" s="199"/>
      <c r="IVA208" s="199"/>
      <c r="IVB208" s="199"/>
      <c r="IVC208" s="199"/>
      <c r="IVD208" s="199"/>
      <c r="IVE208" s="199"/>
      <c r="IVF208" s="199"/>
      <c r="IVG208" s="199"/>
      <c r="IVH208" s="199"/>
      <c r="IVI208" s="199"/>
      <c r="IVJ208" s="199"/>
      <c r="IVK208" s="199"/>
      <c r="IVL208" s="199"/>
      <c r="IVM208" s="199"/>
      <c r="IVN208" s="199"/>
      <c r="IVO208" s="199"/>
      <c r="IVP208" s="199"/>
      <c r="IVQ208" s="199"/>
      <c r="IVR208" s="199"/>
      <c r="IVS208" s="199"/>
      <c r="IVT208" s="199"/>
      <c r="IVU208" s="199"/>
      <c r="IVV208" s="199"/>
      <c r="IVW208" s="199"/>
      <c r="IVX208" s="199"/>
      <c r="IVY208" s="199"/>
      <c r="IVZ208" s="199"/>
      <c r="IWA208" s="199"/>
      <c r="IWB208" s="199"/>
      <c r="IWC208" s="199"/>
      <c r="IWD208" s="199"/>
      <c r="IWE208" s="199"/>
      <c r="IWF208" s="199"/>
      <c r="IWG208" s="199"/>
      <c r="IWH208" s="199"/>
      <c r="IWI208" s="199"/>
      <c r="IWJ208" s="199"/>
      <c r="IWK208" s="199"/>
      <c r="IWL208" s="199"/>
      <c r="IWM208" s="199"/>
      <c r="IWN208" s="199"/>
      <c r="IWO208" s="199"/>
      <c r="IWP208" s="199"/>
      <c r="IWQ208" s="199"/>
      <c r="IWR208" s="199"/>
      <c r="IWS208" s="199"/>
      <c r="IWT208" s="199"/>
      <c r="IWU208" s="199"/>
      <c r="IWV208" s="199"/>
      <c r="IWW208" s="199"/>
      <c r="IWX208" s="199"/>
      <c r="IWY208" s="199"/>
      <c r="IWZ208" s="199"/>
      <c r="IXA208" s="199"/>
      <c r="IXB208" s="199"/>
      <c r="IXC208" s="199"/>
      <c r="IXD208" s="199"/>
      <c r="IXE208" s="199"/>
      <c r="IXF208" s="199"/>
      <c r="IXG208" s="199"/>
      <c r="IXH208" s="199"/>
      <c r="IXI208" s="199"/>
      <c r="IXJ208" s="199"/>
      <c r="IXK208" s="199"/>
      <c r="IXL208" s="199"/>
      <c r="IXM208" s="199"/>
      <c r="IXN208" s="199"/>
      <c r="IXO208" s="199"/>
      <c r="IXP208" s="199"/>
      <c r="IXQ208" s="199"/>
      <c r="IXR208" s="199"/>
      <c r="IXS208" s="199"/>
      <c r="IXT208" s="199"/>
      <c r="IXU208" s="199"/>
      <c r="IXV208" s="199"/>
      <c r="IXW208" s="199"/>
      <c r="IXX208" s="199"/>
      <c r="IXY208" s="199"/>
      <c r="IXZ208" s="199"/>
      <c r="IYA208" s="199"/>
      <c r="IYB208" s="199"/>
      <c r="IYC208" s="199"/>
      <c r="IYD208" s="199"/>
      <c r="IYE208" s="199"/>
      <c r="IYF208" s="199"/>
      <c r="IYG208" s="199"/>
      <c r="IYH208" s="199"/>
      <c r="IYI208" s="199"/>
      <c r="IYJ208" s="199"/>
      <c r="IYK208" s="199"/>
      <c r="IYL208" s="199"/>
      <c r="IYM208" s="199"/>
      <c r="IYN208" s="199"/>
      <c r="IYO208" s="199"/>
      <c r="IYP208" s="199"/>
      <c r="IYQ208" s="199"/>
      <c r="IYR208" s="199"/>
      <c r="IYS208" s="199"/>
      <c r="IYT208" s="199"/>
      <c r="IYU208" s="199"/>
      <c r="IYV208" s="199"/>
      <c r="IYW208" s="199"/>
      <c r="IYX208" s="199"/>
      <c r="IYY208" s="199"/>
      <c r="IYZ208" s="199"/>
      <c r="IZA208" s="199"/>
      <c r="IZB208" s="199"/>
      <c r="IZC208" s="199"/>
      <c r="IZD208" s="199"/>
      <c r="IZE208" s="199"/>
      <c r="IZF208" s="199"/>
      <c r="IZG208" s="199"/>
      <c r="IZH208" s="199"/>
      <c r="IZI208" s="199"/>
      <c r="IZJ208" s="199"/>
      <c r="IZK208" s="199"/>
      <c r="IZL208" s="199"/>
      <c r="IZM208" s="199"/>
      <c r="IZN208" s="199"/>
      <c r="IZO208" s="199"/>
      <c r="IZP208" s="199"/>
      <c r="IZQ208" s="199"/>
      <c r="IZR208" s="199"/>
      <c r="IZS208" s="199"/>
      <c r="IZT208" s="199"/>
      <c r="IZU208" s="199"/>
      <c r="IZV208" s="199"/>
      <c r="IZW208" s="199"/>
      <c r="IZX208" s="199"/>
      <c r="IZY208" s="199"/>
      <c r="IZZ208" s="199"/>
      <c r="JAA208" s="199"/>
      <c r="JAB208" s="199"/>
      <c r="JAC208" s="199"/>
      <c r="JAD208" s="199"/>
      <c r="JAE208" s="199"/>
      <c r="JAF208" s="199"/>
      <c r="JAG208" s="199"/>
      <c r="JAH208" s="199"/>
      <c r="JAI208" s="199"/>
      <c r="JAJ208" s="199"/>
      <c r="JAK208" s="199"/>
      <c r="JAL208" s="199"/>
      <c r="JAM208" s="199"/>
      <c r="JAN208" s="199"/>
      <c r="JAO208" s="199"/>
      <c r="JAP208" s="199"/>
      <c r="JAQ208" s="199"/>
      <c r="JAR208" s="199"/>
      <c r="JAS208" s="199"/>
      <c r="JAT208" s="199"/>
      <c r="JAU208" s="199"/>
      <c r="JAV208" s="199"/>
      <c r="JAW208" s="199"/>
      <c r="JAX208" s="199"/>
      <c r="JAY208" s="199"/>
      <c r="JAZ208" s="199"/>
      <c r="JBA208" s="199"/>
      <c r="JBB208" s="199"/>
      <c r="JBC208" s="199"/>
      <c r="JBD208" s="199"/>
      <c r="JBE208" s="199"/>
      <c r="JBF208" s="199"/>
      <c r="JBG208" s="199"/>
      <c r="JBH208" s="199"/>
      <c r="JBI208" s="199"/>
      <c r="JBJ208" s="199"/>
      <c r="JBK208" s="199"/>
      <c r="JBL208" s="199"/>
      <c r="JBM208" s="199"/>
      <c r="JBN208" s="199"/>
      <c r="JBO208" s="199"/>
      <c r="JBP208" s="199"/>
      <c r="JBQ208" s="199"/>
      <c r="JBR208" s="199"/>
      <c r="JBS208" s="199"/>
      <c r="JBT208" s="199"/>
      <c r="JBU208" s="199"/>
      <c r="JBV208" s="199"/>
      <c r="JBW208" s="199"/>
      <c r="JBX208" s="199"/>
      <c r="JBY208" s="199"/>
      <c r="JBZ208" s="199"/>
      <c r="JCA208" s="199"/>
      <c r="JCB208" s="199"/>
      <c r="JCC208" s="199"/>
      <c r="JCD208" s="199"/>
      <c r="JCE208" s="199"/>
      <c r="JCF208" s="199"/>
      <c r="JCG208" s="199"/>
      <c r="JCH208" s="199"/>
      <c r="JCI208" s="199"/>
      <c r="JCJ208" s="199"/>
      <c r="JCK208" s="199"/>
      <c r="JCL208" s="199"/>
      <c r="JCM208" s="199"/>
      <c r="JCN208" s="199"/>
      <c r="JCO208" s="199"/>
      <c r="JCP208" s="199"/>
      <c r="JCQ208" s="199"/>
      <c r="JCR208" s="199"/>
      <c r="JCS208" s="199"/>
      <c r="JCT208" s="199"/>
      <c r="JCU208" s="199"/>
      <c r="JCV208" s="199"/>
      <c r="JCW208" s="199"/>
      <c r="JCX208" s="199"/>
      <c r="JCY208" s="199"/>
      <c r="JCZ208" s="199"/>
      <c r="JDA208" s="199"/>
      <c r="JDB208" s="199"/>
      <c r="JDC208" s="199"/>
      <c r="JDD208" s="199"/>
      <c r="JDE208" s="199"/>
      <c r="JDF208" s="199"/>
      <c r="JDG208" s="199"/>
      <c r="JDH208" s="199"/>
      <c r="JDI208" s="199"/>
      <c r="JDJ208" s="199"/>
      <c r="JDK208" s="199"/>
      <c r="JDL208" s="199"/>
      <c r="JDM208" s="199"/>
      <c r="JDN208" s="199"/>
      <c r="JDO208" s="199"/>
      <c r="JDP208" s="199"/>
      <c r="JDQ208" s="199"/>
      <c r="JDR208" s="199"/>
      <c r="JDS208" s="199"/>
      <c r="JDT208" s="199"/>
      <c r="JDU208" s="199"/>
      <c r="JDV208" s="199"/>
      <c r="JDW208" s="199"/>
      <c r="JDX208" s="199"/>
      <c r="JDY208" s="199"/>
      <c r="JDZ208" s="199"/>
      <c r="JEA208" s="199"/>
      <c r="JEB208" s="199"/>
      <c r="JEC208" s="199"/>
      <c r="JED208" s="199"/>
      <c r="JEE208" s="199"/>
      <c r="JEF208" s="199"/>
      <c r="JEG208" s="199"/>
      <c r="JEH208" s="199"/>
      <c r="JEI208" s="199"/>
      <c r="JEJ208" s="199"/>
      <c r="JEK208" s="199"/>
      <c r="JEL208" s="199"/>
      <c r="JEM208" s="199"/>
      <c r="JEN208" s="199"/>
      <c r="JEO208" s="199"/>
      <c r="JEP208" s="199"/>
      <c r="JEQ208" s="199"/>
      <c r="JER208" s="199"/>
      <c r="JES208" s="199"/>
      <c r="JET208" s="199"/>
      <c r="JEU208" s="199"/>
      <c r="JEV208" s="199"/>
      <c r="JEW208" s="199"/>
      <c r="JEX208" s="199"/>
      <c r="JEY208" s="199"/>
      <c r="JEZ208" s="199"/>
      <c r="JFA208" s="199"/>
      <c r="JFB208" s="199"/>
      <c r="JFC208" s="199"/>
      <c r="JFD208" s="199"/>
      <c r="JFE208" s="199"/>
      <c r="JFF208" s="199"/>
      <c r="JFG208" s="199"/>
      <c r="JFH208" s="199"/>
      <c r="JFI208" s="199"/>
      <c r="JFJ208" s="199"/>
      <c r="JFK208" s="199"/>
      <c r="JFL208" s="199"/>
      <c r="JFM208" s="199"/>
      <c r="JFN208" s="199"/>
      <c r="JFO208" s="199"/>
      <c r="JFP208" s="199"/>
      <c r="JFQ208" s="199"/>
      <c r="JFR208" s="199"/>
      <c r="JFS208" s="199"/>
      <c r="JFT208" s="199"/>
      <c r="JFU208" s="199"/>
      <c r="JFV208" s="199"/>
      <c r="JFW208" s="199"/>
      <c r="JFX208" s="199"/>
      <c r="JFY208" s="199"/>
      <c r="JFZ208" s="199"/>
      <c r="JGA208" s="199"/>
      <c r="JGB208" s="199"/>
      <c r="JGC208" s="199"/>
      <c r="JGD208" s="199"/>
      <c r="JGE208" s="199"/>
      <c r="JGF208" s="199"/>
      <c r="JGG208" s="199"/>
      <c r="JGH208" s="199"/>
      <c r="JGI208" s="199"/>
      <c r="JGJ208" s="199"/>
      <c r="JGK208" s="199"/>
      <c r="JGL208" s="199"/>
      <c r="JGM208" s="199"/>
      <c r="JGN208" s="199"/>
      <c r="JGO208" s="199"/>
      <c r="JGP208" s="199"/>
      <c r="JGQ208" s="199"/>
      <c r="JGR208" s="199"/>
      <c r="JGS208" s="199"/>
      <c r="JGT208" s="199"/>
      <c r="JGU208" s="199"/>
      <c r="JGV208" s="199"/>
      <c r="JGW208" s="199"/>
      <c r="JGX208" s="199"/>
      <c r="JGY208" s="199"/>
      <c r="JGZ208" s="199"/>
      <c r="JHA208" s="199"/>
      <c r="JHB208" s="199"/>
      <c r="JHC208" s="199"/>
      <c r="JHD208" s="199"/>
      <c r="JHE208" s="199"/>
      <c r="JHF208" s="199"/>
      <c r="JHG208" s="199"/>
      <c r="JHH208" s="199"/>
      <c r="JHI208" s="199"/>
      <c r="JHJ208" s="199"/>
      <c r="JHK208" s="199"/>
      <c r="JHL208" s="199"/>
      <c r="JHM208" s="199"/>
      <c r="JHN208" s="199"/>
      <c r="JHO208" s="199"/>
      <c r="JHP208" s="199"/>
      <c r="JHQ208" s="199"/>
      <c r="JHR208" s="199"/>
      <c r="JHS208" s="199"/>
      <c r="JHT208" s="199"/>
      <c r="JHU208" s="199"/>
      <c r="JHV208" s="199"/>
      <c r="JHW208" s="199"/>
      <c r="JHX208" s="199"/>
      <c r="JHY208" s="199"/>
      <c r="JHZ208" s="199"/>
      <c r="JIA208" s="199"/>
      <c r="JIB208" s="199"/>
      <c r="JIC208" s="199"/>
      <c r="JID208" s="199"/>
      <c r="JIE208" s="199"/>
      <c r="JIF208" s="199"/>
      <c r="JIG208" s="199"/>
      <c r="JIH208" s="199"/>
      <c r="JII208" s="199"/>
      <c r="JIJ208" s="199"/>
      <c r="JIK208" s="199"/>
      <c r="JIL208" s="199"/>
      <c r="JIM208" s="199"/>
      <c r="JIN208" s="199"/>
      <c r="JIO208" s="199"/>
      <c r="JIP208" s="199"/>
      <c r="JIQ208" s="199"/>
      <c r="JIR208" s="199"/>
      <c r="JIS208" s="199"/>
      <c r="JIT208" s="199"/>
      <c r="JIU208" s="199"/>
      <c r="JIV208" s="199"/>
      <c r="JIW208" s="199"/>
      <c r="JIX208" s="199"/>
      <c r="JIY208" s="199"/>
      <c r="JIZ208" s="199"/>
      <c r="JJA208" s="199"/>
      <c r="JJB208" s="199"/>
      <c r="JJC208" s="199"/>
      <c r="JJD208" s="199"/>
      <c r="JJE208" s="199"/>
      <c r="JJF208" s="199"/>
      <c r="JJG208" s="199"/>
      <c r="JJH208" s="199"/>
      <c r="JJI208" s="199"/>
      <c r="JJJ208" s="199"/>
      <c r="JJK208" s="199"/>
      <c r="JJL208" s="199"/>
      <c r="JJM208" s="199"/>
      <c r="JJN208" s="199"/>
      <c r="JJO208" s="199"/>
      <c r="JJP208" s="199"/>
      <c r="JJQ208" s="199"/>
      <c r="JJR208" s="199"/>
      <c r="JJS208" s="199"/>
      <c r="JJT208" s="199"/>
      <c r="JJU208" s="199"/>
      <c r="JJV208" s="199"/>
      <c r="JJW208" s="199"/>
      <c r="JJX208" s="199"/>
      <c r="JJY208" s="199"/>
      <c r="JJZ208" s="199"/>
      <c r="JKA208" s="199"/>
      <c r="JKB208" s="199"/>
      <c r="JKC208" s="199"/>
      <c r="JKD208" s="199"/>
      <c r="JKE208" s="199"/>
      <c r="JKF208" s="199"/>
      <c r="JKG208" s="199"/>
      <c r="JKH208" s="199"/>
      <c r="JKI208" s="199"/>
      <c r="JKJ208" s="199"/>
      <c r="JKK208" s="199"/>
      <c r="JKL208" s="199"/>
      <c r="JKM208" s="199"/>
      <c r="JKN208" s="199"/>
      <c r="JKO208" s="199"/>
      <c r="JKP208" s="199"/>
      <c r="JKQ208" s="199"/>
      <c r="JKR208" s="199"/>
      <c r="JKS208" s="199"/>
      <c r="JKT208" s="199"/>
      <c r="JKU208" s="199"/>
      <c r="JKV208" s="199"/>
      <c r="JKW208" s="199"/>
      <c r="JKX208" s="199"/>
      <c r="JKY208" s="199"/>
      <c r="JKZ208" s="199"/>
      <c r="JLA208" s="199"/>
      <c r="JLB208" s="199"/>
      <c r="JLC208" s="199"/>
      <c r="JLD208" s="199"/>
      <c r="JLE208" s="199"/>
      <c r="JLF208" s="199"/>
      <c r="JLG208" s="199"/>
      <c r="JLH208" s="199"/>
      <c r="JLI208" s="199"/>
      <c r="JLJ208" s="199"/>
      <c r="JLK208" s="199"/>
      <c r="JLL208" s="199"/>
      <c r="JLM208" s="199"/>
      <c r="JLN208" s="199"/>
      <c r="JLO208" s="199"/>
      <c r="JLP208" s="199"/>
      <c r="JLQ208" s="199"/>
      <c r="JLR208" s="199"/>
      <c r="JLS208" s="199"/>
      <c r="JLT208" s="199"/>
      <c r="JLU208" s="199"/>
      <c r="JLV208" s="199"/>
      <c r="JLW208" s="199"/>
      <c r="JLX208" s="199"/>
      <c r="JLY208" s="199"/>
      <c r="JLZ208" s="199"/>
      <c r="JMA208" s="199"/>
      <c r="JMB208" s="199"/>
      <c r="JMC208" s="199"/>
      <c r="JMD208" s="199"/>
      <c r="JME208" s="199"/>
      <c r="JMF208" s="199"/>
      <c r="JMG208" s="199"/>
      <c r="JMH208" s="199"/>
      <c r="JMI208" s="199"/>
      <c r="JMJ208" s="199"/>
      <c r="JMK208" s="199"/>
      <c r="JML208" s="199"/>
      <c r="JMM208" s="199"/>
      <c r="JMN208" s="199"/>
      <c r="JMO208" s="199"/>
      <c r="JMP208" s="199"/>
      <c r="JMQ208" s="199"/>
      <c r="JMR208" s="199"/>
      <c r="JMS208" s="199"/>
      <c r="JMT208" s="199"/>
      <c r="JMU208" s="199"/>
      <c r="JMV208" s="199"/>
      <c r="JMW208" s="199"/>
      <c r="JMX208" s="199"/>
      <c r="JMY208" s="199"/>
      <c r="JMZ208" s="199"/>
      <c r="JNA208" s="199"/>
      <c r="JNB208" s="199"/>
      <c r="JNC208" s="199"/>
      <c r="JND208" s="199"/>
      <c r="JNE208" s="199"/>
      <c r="JNF208" s="199"/>
      <c r="JNG208" s="199"/>
      <c r="JNH208" s="199"/>
      <c r="JNI208" s="199"/>
      <c r="JNJ208" s="199"/>
      <c r="JNK208" s="199"/>
      <c r="JNL208" s="199"/>
      <c r="JNM208" s="199"/>
      <c r="JNN208" s="199"/>
      <c r="JNO208" s="199"/>
      <c r="JNP208" s="199"/>
      <c r="JNQ208" s="199"/>
      <c r="JNR208" s="199"/>
      <c r="JNS208" s="199"/>
      <c r="JNT208" s="199"/>
      <c r="JNU208" s="199"/>
      <c r="JNV208" s="199"/>
      <c r="JNW208" s="199"/>
      <c r="JNX208" s="199"/>
      <c r="JNY208" s="199"/>
      <c r="JNZ208" s="199"/>
      <c r="JOA208" s="199"/>
      <c r="JOB208" s="199"/>
      <c r="JOC208" s="199"/>
      <c r="JOD208" s="199"/>
      <c r="JOE208" s="199"/>
      <c r="JOF208" s="199"/>
      <c r="JOG208" s="199"/>
      <c r="JOH208" s="199"/>
      <c r="JOI208" s="199"/>
      <c r="JOJ208" s="199"/>
      <c r="JOK208" s="199"/>
      <c r="JOL208" s="199"/>
      <c r="JOM208" s="199"/>
      <c r="JON208" s="199"/>
      <c r="JOO208" s="199"/>
      <c r="JOP208" s="199"/>
      <c r="JOQ208" s="199"/>
      <c r="JOR208" s="199"/>
      <c r="JOS208" s="199"/>
      <c r="JOT208" s="199"/>
      <c r="JOU208" s="199"/>
      <c r="JOV208" s="199"/>
      <c r="JOW208" s="199"/>
      <c r="JOX208" s="199"/>
      <c r="JOY208" s="199"/>
      <c r="JOZ208" s="199"/>
      <c r="JPA208" s="199"/>
      <c r="JPB208" s="199"/>
      <c r="JPC208" s="199"/>
      <c r="JPD208" s="199"/>
      <c r="JPE208" s="199"/>
      <c r="JPF208" s="199"/>
      <c r="JPG208" s="199"/>
      <c r="JPH208" s="199"/>
      <c r="JPI208" s="199"/>
      <c r="JPJ208" s="199"/>
      <c r="JPK208" s="199"/>
      <c r="JPL208" s="199"/>
      <c r="JPM208" s="199"/>
      <c r="JPN208" s="199"/>
      <c r="JPO208" s="199"/>
      <c r="JPP208" s="199"/>
      <c r="JPQ208" s="199"/>
      <c r="JPR208" s="199"/>
      <c r="JPS208" s="199"/>
      <c r="JPT208" s="199"/>
      <c r="JPU208" s="199"/>
      <c r="JPV208" s="199"/>
      <c r="JPW208" s="199"/>
      <c r="JPX208" s="199"/>
      <c r="JPY208" s="199"/>
      <c r="JPZ208" s="199"/>
      <c r="JQA208" s="199"/>
      <c r="JQB208" s="199"/>
      <c r="JQC208" s="199"/>
      <c r="JQD208" s="199"/>
      <c r="JQE208" s="199"/>
      <c r="JQF208" s="199"/>
      <c r="JQG208" s="199"/>
      <c r="JQH208" s="199"/>
      <c r="JQI208" s="199"/>
      <c r="JQJ208" s="199"/>
      <c r="JQK208" s="199"/>
      <c r="JQL208" s="199"/>
      <c r="JQM208" s="199"/>
      <c r="JQN208" s="199"/>
      <c r="JQO208" s="199"/>
      <c r="JQP208" s="199"/>
      <c r="JQQ208" s="199"/>
      <c r="JQR208" s="199"/>
      <c r="JQS208" s="199"/>
      <c r="JQT208" s="199"/>
      <c r="JQU208" s="199"/>
      <c r="JQV208" s="199"/>
      <c r="JQW208" s="199"/>
      <c r="JQX208" s="199"/>
      <c r="JQY208" s="199"/>
      <c r="JQZ208" s="199"/>
      <c r="JRA208" s="199"/>
      <c r="JRB208" s="199"/>
      <c r="JRC208" s="199"/>
      <c r="JRD208" s="199"/>
      <c r="JRE208" s="199"/>
      <c r="JRF208" s="199"/>
      <c r="JRG208" s="199"/>
      <c r="JRH208" s="199"/>
      <c r="JRI208" s="199"/>
      <c r="JRJ208" s="199"/>
      <c r="JRK208" s="199"/>
      <c r="JRL208" s="199"/>
      <c r="JRM208" s="199"/>
      <c r="JRN208" s="199"/>
      <c r="JRO208" s="199"/>
      <c r="JRP208" s="199"/>
      <c r="JRQ208" s="199"/>
      <c r="JRR208" s="199"/>
      <c r="JRS208" s="199"/>
      <c r="JRT208" s="199"/>
      <c r="JRU208" s="199"/>
      <c r="JRV208" s="199"/>
      <c r="JRW208" s="199"/>
      <c r="JRX208" s="199"/>
      <c r="JRY208" s="199"/>
      <c r="JRZ208" s="199"/>
      <c r="JSA208" s="199"/>
      <c r="JSB208" s="199"/>
      <c r="JSC208" s="199"/>
      <c r="JSD208" s="199"/>
      <c r="JSE208" s="199"/>
      <c r="JSF208" s="199"/>
      <c r="JSG208" s="199"/>
      <c r="JSH208" s="199"/>
      <c r="JSI208" s="199"/>
      <c r="JSJ208" s="199"/>
      <c r="JSK208" s="199"/>
      <c r="JSL208" s="199"/>
      <c r="JSM208" s="199"/>
      <c r="JSN208" s="199"/>
      <c r="JSO208" s="199"/>
      <c r="JSP208" s="199"/>
      <c r="JSQ208" s="199"/>
      <c r="JSR208" s="199"/>
      <c r="JSS208" s="199"/>
      <c r="JST208" s="199"/>
      <c r="JSU208" s="199"/>
      <c r="JSV208" s="199"/>
      <c r="JSW208" s="199"/>
      <c r="JSX208" s="199"/>
      <c r="JSY208" s="199"/>
      <c r="JSZ208" s="199"/>
      <c r="JTA208" s="199"/>
      <c r="JTB208" s="199"/>
      <c r="JTC208" s="199"/>
      <c r="JTD208" s="199"/>
      <c r="JTE208" s="199"/>
      <c r="JTF208" s="199"/>
      <c r="JTG208" s="199"/>
      <c r="JTH208" s="199"/>
      <c r="JTI208" s="199"/>
      <c r="JTJ208" s="199"/>
      <c r="JTK208" s="199"/>
      <c r="JTL208" s="199"/>
      <c r="JTM208" s="199"/>
      <c r="JTN208" s="199"/>
      <c r="JTO208" s="199"/>
      <c r="JTP208" s="199"/>
      <c r="JTQ208" s="199"/>
      <c r="JTR208" s="199"/>
      <c r="JTS208" s="199"/>
      <c r="JTT208" s="199"/>
      <c r="JTU208" s="199"/>
      <c r="JTV208" s="199"/>
      <c r="JTW208" s="199"/>
      <c r="JTX208" s="199"/>
      <c r="JTY208" s="199"/>
      <c r="JTZ208" s="199"/>
      <c r="JUA208" s="199"/>
      <c r="JUB208" s="199"/>
      <c r="JUC208" s="199"/>
      <c r="JUD208" s="199"/>
      <c r="JUE208" s="199"/>
      <c r="JUF208" s="199"/>
      <c r="JUG208" s="199"/>
      <c r="JUH208" s="199"/>
      <c r="JUI208" s="199"/>
      <c r="JUJ208" s="199"/>
      <c r="JUK208" s="199"/>
      <c r="JUL208" s="199"/>
      <c r="JUM208" s="199"/>
      <c r="JUN208" s="199"/>
      <c r="JUO208" s="199"/>
      <c r="JUP208" s="199"/>
      <c r="JUQ208" s="199"/>
      <c r="JUR208" s="199"/>
      <c r="JUS208" s="199"/>
      <c r="JUT208" s="199"/>
      <c r="JUU208" s="199"/>
      <c r="JUV208" s="199"/>
      <c r="JUW208" s="199"/>
      <c r="JUX208" s="199"/>
      <c r="JUY208" s="199"/>
      <c r="JUZ208" s="199"/>
      <c r="JVA208" s="199"/>
      <c r="JVB208" s="199"/>
      <c r="JVC208" s="199"/>
      <c r="JVD208" s="199"/>
      <c r="JVE208" s="199"/>
      <c r="JVF208" s="199"/>
      <c r="JVG208" s="199"/>
      <c r="JVH208" s="199"/>
      <c r="JVI208" s="199"/>
      <c r="JVJ208" s="199"/>
      <c r="JVK208" s="199"/>
      <c r="JVL208" s="199"/>
      <c r="JVM208" s="199"/>
      <c r="JVN208" s="199"/>
      <c r="JVO208" s="199"/>
      <c r="JVP208" s="199"/>
      <c r="JVQ208" s="199"/>
      <c r="JVR208" s="199"/>
      <c r="JVS208" s="199"/>
      <c r="JVT208" s="199"/>
      <c r="JVU208" s="199"/>
      <c r="JVV208" s="199"/>
      <c r="JVW208" s="199"/>
      <c r="JVX208" s="199"/>
      <c r="JVY208" s="199"/>
      <c r="JVZ208" s="199"/>
      <c r="JWA208" s="199"/>
      <c r="JWB208" s="199"/>
      <c r="JWC208" s="199"/>
      <c r="JWD208" s="199"/>
      <c r="JWE208" s="199"/>
      <c r="JWF208" s="199"/>
      <c r="JWG208" s="199"/>
      <c r="JWH208" s="199"/>
      <c r="JWI208" s="199"/>
      <c r="JWJ208" s="199"/>
      <c r="JWK208" s="199"/>
      <c r="JWL208" s="199"/>
      <c r="JWM208" s="199"/>
      <c r="JWN208" s="199"/>
      <c r="JWO208" s="199"/>
      <c r="JWP208" s="199"/>
      <c r="JWQ208" s="199"/>
      <c r="JWR208" s="199"/>
      <c r="JWS208" s="199"/>
      <c r="JWT208" s="199"/>
      <c r="JWU208" s="199"/>
      <c r="JWV208" s="199"/>
      <c r="JWW208" s="199"/>
      <c r="JWX208" s="199"/>
      <c r="JWY208" s="199"/>
      <c r="JWZ208" s="199"/>
      <c r="JXA208" s="199"/>
      <c r="JXB208" s="199"/>
      <c r="JXC208" s="199"/>
      <c r="JXD208" s="199"/>
      <c r="JXE208" s="199"/>
      <c r="JXF208" s="199"/>
      <c r="JXG208" s="199"/>
      <c r="JXH208" s="199"/>
      <c r="JXI208" s="199"/>
      <c r="JXJ208" s="199"/>
      <c r="JXK208" s="199"/>
      <c r="JXL208" s="199"/>
      <c r="JXM208" s="199"/>
      <c r="JXN208" s="199"/>
      <c r="JXO208" s="199"/>
      <c r="JXP208" s="199"/>
      <c r="JXQ208" s="199"/>
      <c r="JXR208" s="199"/>
      <c r="JXS208" s="199"/>
      <c r="JXT208" s="199"/>
      <c r="JXU208" s="199"/>
      <c r="JXV208" s="199"/>
      <c r="JXW208" s="199"/>
      <c r="JXX208" s="199"/>
      <c r="JXY208" s="199"/>
      <c r="JXZ208" s="199"/>
      <c r="JYA208" s="199"/>
      <c r="JYB208" s="199"/>
      <c r="JYC208" s="199"/>
      <c r="JYD208" s="199"/>
      <c r="JYE208" s="199"/>
      <c r="JYF208" s="199"/>
      <c r="JYG208" s="199"/>
      <c r="JYH208" s="199"/>
      <c r="JYI208" s="199"/>
      <c r="JYJ208" s="199"/>
      <c r="JYK208" s="199"/>
      <c r="JYL208" s="199"/>
      <c r="JYM208" s="199"/>
      <c r="JYN208" s="199"/>
      <c r="JYO208" s="199"/>
      <c r="JYP208" s="199"/>
      <c r="JYQ208" s="199"/>
      <c r="JYR208" s="199"/>
      <c r="JYS208" s="199"/>
      <c r="JYT208" s="199"/>
      <c r="JYU208" s="199"/>
      <c r="JYV208" s="199"/>
      <c r="JYW208" s="199"/>
      <c r="JYX208" s="199"/>
      <c r="JYY208" s="199"/>
      <c r="JYZ208" s="199"/>
      <c r="JZA208" s="199"/>
      <c r="JZB208" s="199"/>
      <c r="JZC208" s="199"/>
      <c r="JZD208" s="199"/>
      <c r="JZE208" s="199"/>
      <c r="JZF208" s="199"/>
      <c r="JZG208" s="199"/>
      <c r="JZH208" s="199"/>
      <c r="JZI208" s="199"/>
      <c r="JZJ208" s="199"/>
      <c r="JZK208" s="199"/>
      <c r="JZL208" s="199"/>
      <c r="JZM208" s="199"/>
      <c r="JZN208" s="199"/>
      <c r="JZO208" s="199"/>
      <c r="JZP208" s="199"/>
      <c r="JZQ208" s="199"/>
      <c r="JZR208" s="199"/>
      <c r="JZS208" s="199"/>
      <c r="JZT208" s="199"/>
      <c r="JZU208" s="199"/>
      <c r="JZV208" s="199"/>
      <c r="JZW208" s="199"/>
      <c r="JZX208" s="199"/>
      <c r="JZY208" s="199"/>
      <c r="JZZ208" s="199"/>
      <c r="KAA208" s="199"/>
      <c r="KAB208" s="199"/>
      <c r="KAC208" s="199"/>
      <c r="KAD208" s="199"/>
      <c r="KAE208" s="199"/>
      <c r="KAF208" s="199"/>
      <c r="KAG208" s="199"/>
      <c r="KAH208" s="199"/>
      <c r="KAI208" s="199"/>
      <c r="KAJ208" s="199"/>
      <c r="KAK208" s="199"/>
      <c r="KAL208" s="199"/>
      <c r="KAM208" s="199"/>
      <c r="KAN208" s="199"/>
      <c r="KAO208" s="199"/>
      <c r="KAP208" s="199"/>
      <c r="KAQ208" s="199"/>
      <c r="KAR208" s="199"/>
      <c r="KAS208" s="199"/>
      <c r="KAT208" s="199"/>
      <c r="KAU208" s="199"/>
      <c r="KAV208" s="199"/>
      <c r="KAW208" s="199"/>
      <c r="KAX208" s="199"/>
      <c r="KAY208" s="199"/>
      <c r="KAZ208" s="199"/>
      <c r="KBA208" s="199"/>
      <c r="KBB208" s="199"/>
      <c r="KBC208" s="199"/>
      <c r="KBD208" s="199"/>
      <c r="KBE208" s="199"/>
      <c r="KBF208" s="199"/>
      <c r="KBG208" s="199"/>
      <c r="KBH208" s="199"/>
      <c r="KBI208" s="199"/>
      <c r="KBJ208" s="199"/>
      <c r="KBK208" s="199"/>
      <c r="KBL208" s="199"/>
      <c r="KBM208" s="199"/>
      <c r="KBN208" s="199"/>
      <c r="KBO208" s="199"/>
      <c r="KBP208" s="199"/>
      <c r="KBQ208" s="199"/>
      <c r="KBR208" s="199"/>
      <c r="KBS208" s="199"/>
      <c r="KBT208" s="199"/>
      <c r="KBU208" s="199"/>
      <c r="KBV208" s="199"/>
      <c r="KBW208" s="199"/>
      <c r="KBX208" s="199"/>
      <c r="KBY208" s="199"/>
      <c r="KBZ208" s="199"/>
      <c r="KCA208" s="199"/>
      <c r="KCB208" s="199"/>
      <c r="KCC208" s="199"/>
      <c r="KCD208" s="199"/>
      <c r="KCE208" s="199"/>
      <c r="KCF208" s="199"/>
      <c r="KCG208" s="199"/>
      <c r="KCH208" s="199"/>
      <c r="KCI208" s="199"/>
      <c r="KCJ208" s="199"/>
      <c r="KCK208" s="199"/>
      <c r="KCL208" s="199"/>
      <c r="KCM208" s="199"/>
      <c r="KCN208" s="199"/>
      <c r="KCO208" s="199"/>
      <c r="KCP208" s="199"/>
      <c r="KCQ208" s="199"/>
      <c r="KCR208" s="199"/>
      <c r="KCS208" s="199"/>
      <c r="KCT208" s="199"/>
      <c r="KCU208" s="199"/>
      <c r="KCV208" s="199"/>
      <c r="KCW208" s="199"/>
      <c r="KCX208" s="199"/>
      <c r="KCY208" s="199"/>
      <c r="KCZ208" s="199"/>
      <c r="KDA208" s="199"/>
      <c r="KDB208" s="199"/>
      <c r="KDC208" s="199"/>
      <c r="KDD208" s="199"/>
      <c r="KDE208" s="199"/>
      <c r="KDF208" s="199"/>
      <c r="KDG208" s="199"/>
      <c r="KDH208" s="199"/>
      <c r="KDI208" s="199"/>
      <c r="KDJ208" s="199"/>
      <c r="KDK208" s="199"/>
      <c r="KDL208" s="199"/>
      <c r="KDM208" s="199"/>
      <c r="KDN208" s="199"/>
      <c r="KDO208" s="199"/>
      <c r="KDP208" s="199"/>
      <c r="KDQ208" s="199"/>
      <c r="KDR208" s="199"/>
      <c r="KDS208" s="199"/>
      <c r="KDT208" s="199"/>
      <c r="KDU208" s="199"/>
      <c r="KDV208" s="199"/>
      <c r="KDW208" s="199"/>
      <c r="KDX208" s="199"/>
      <c r="KDY208" s="199"/>
      <c r="KDZ208" s="199"/>
      <c r="KEA208" s="199"/>
      <c r="KEB208" s="199"/>
      <c r="KEC208" s="199"/>
      <c r="KED208" s="199"/>
      <c r="KEE208" s="199"/>
      <c r="KEF208" s="199"/>
      <c r="KEG208" s="199"/>
      <c r="KEH208" s="199"/>
      <c r="KEI208" s="199"/>
      <c r="KEJ208" s="199"/>
      <c r="KEK208" s="199"/>
      <c r="KEL208" s="199"/>
      <c r="KEM208" s="199"/>
      <c r="KEN208" s="199"/>
      <c r="KEO208" s="199"/>
      <c r="KEP208" s="199"/>
      <c r="KEQ208" s="199"/>
      <c r="KER208" s="199"/>
      <c r="KES208" s="199"/>
      <c r="KET208" s="199"/>
      <c r="KEU208" s="199"/>
      <c r="KEV208" s="199"/>
      <c r="KEW208" s="199"/>
      <c r="KEX208" s="199"/>
      <c r="KEY208" s="199"/>
      <c r="KEZ208" s="199"/>
      <c r="KFA208" s="199"/>
      <c r="KFB208" s="199"/>
      <c r="KFC208" s="199"/>
      <c r="KFD208" s="199"/>
      <c r="KFE208" s="199"/>
      <c r="KFF208" s="199"/>
      <c r="KFG208" s="199"/>
      <c r="KFH208" s="199"/>
      <c r="KFI208" s="199"/>
      <c r="KFJ208" s="199"/>
      <c r="KFK208" s="199"/>
      <c r="KFL208" s="199"/>
      <c r="KFM208" s="199"/>
      <c r="KFN208" s="199"/>
      <c r="KFO208" s="199"/>
      <c r="KFP208" s="199"/>
      <c r="KFQ208" s="199"/>
      <c r="KFR208" s="199"/>
      <c r="KFS208" s="199"/>
      <c r="KFT208" s="199"/>
      <c r="KFU208" s="199"/>
      <c r="KFV208" s="199"/>
      <c r="KFW208" s="199"/>
      <c r="KFX208" s="199"/>
      <c r="KFY208" s="199"/>
      <c r="KFZ208" s="199"/>
      <c r="KGA208" s="199"/>
      <c r="KGB208" s="199"/>
      <c r="KGC208" s="199"/>
      <c r="KGD208" s="199"/>
      <c r="KGE208" s="199"/>
      <c r="KGF208" s="199"/>
      <c r="KGG208" s="199"/>
      <c r="KGH208" s="199"/>
      <c r="KGI208" s="199"/>
      <c r="KGJ208" s="199"/>
      <c r="KGK208" s="199"/>
      <c r="KGL208" s="199"/>
      <c r="KGM208" s="199"/>
      <c r="KGN208" s="199"/>
      <c r="KGO208" s="199"/>
      <c r="KGP208" s="199"/>
      <c r="KGQ208" s="199"/>
      <c r="KGR208" s="199"/>
      <c r="KGS208" s="199"/>
      <c r="KGT208" s="199"/>
      <c r="KGU208" s="199"/>
      <c r="KGV208" s="199"/>
      <c r="KGW208" s="199"/>
      <c r="KGX208" s="199"/>
      <c r="KGY208" s="199"/>
      <c r="KGZ208" s="199"/>
      <c r="KHA208" s="199"/>
      <c r="KHB208" s="199"/>
      <c r="KHC208" s="199"/>
      <c r="KHD208" s="199"/>
      <c r="KHE208" s="199"/>
      <c r="KHF208" s="199"/>
      <c r="KHG208" s="199"/>
      <c r="KHH208" s="199"/>
      <c r="KHI208" s="199"/>
      <c r="KHJ208" s="199"/>
      <c r="KHK208" s="199"/>
      <c r="KHL208" s="199"/>
      <c r="KHM208" s="199"/>
      <c r="KHN208" s="199"/>
      <c r="KHO208" s="199"/>
      <c r="KHP208" s="199"/>
      <c r="KHQ208" s="199"/>
      <c r="KHR208" s="199"/>
      <c r="KHS208" s="199"/>
      <c r="KHT208" s="199"/>
      <c r="KHU208" s="199"/>
      <c r="KHV208" s="199"/>
      <c r="KHW208" s="199"/>
      <c r="KHX208" s="199"/>
      <c r="KHY208" s="199"/>
      <c r="KHZ208" s="199"/>
      <c r="KIA208" s="199"/>
      <c r="KIB208" s="199"/>
      <c r="KIC208" s="199"/>
      <c r="KID208" s="199"/>
      <c r="KIE208" s="199"/>
      <c r="KIF208" s="199"/>
      <c r="KIG208" s="199"/>
      <c r="KIH208" s="199"/>
      <c r="KII208" s="199"/>
      <c r="KIJ208" s="199"/>
      <c r="KIK208" s="199"/>
      <c r="KIL208" s="199"/>
      <c r="KIM208" s="199"/>
      <c r="KIN208" s="199"/>
      <c r="KIO208" s="199"/>
      <c r="KIP208" s="199"/>
      <c r="KIQ208" s="199"/>
      <c r="KIR208" s="199"/>
      <c r="KIS208" s="199"/>
      <c r="KIT208" s="199"/>
      <c r="KIU208" s="199"/>
      <c r="KIV208" s="199"/>
      <c r="KIW208" s="199"/>
      <c r="KIX208" s="199"/>
      <c r="KIY208" s="199"/>
      <c r="KIZ208" s="199"/>
      <c r="KJA208" s="199"/>
      <c r="KJB208" s="199"/>
      <c r="KJC208" s="199"/>
      <c r="KJD208" s="199"/>
      <c r="KJE208" s="199"/>
      <c r="KJF208" s="199"/>
      <c r="KJG208" s="199"/>
      <c r="KJH208" s="199"/>
      <c r="KJI208" s="199"/>
      <c r="KJJ208" s="199"/>
      <c r="KJK208" s="199"/>
      <c r="KJL208" s="199"/>
      <c r="KJM208" s="199"/>
      <c r="KJN208" s="199"/>
      <c r="KJO208" s="199"/>
      <c r="KJP208" s="199"/>
      <c r="KJQ208" s="199"/>
      <c r="KJR208" s="199"/>
      <c r="KJS208" s="199"/>
      <c r="KJT208" s="199"/>
      <c r="KJU208" s="199"/>
      <c r="KJV208" s="199"/>
      <c r="KJW208" s="199"/>
      <c r="KJX208" s="199"/>
      <c r="KJY208" s="199"/>
      <c r="KJZ208" s="199"/>
      <c r="KKA208" s="199"/>
      <c r="KKB208" s="199"/>
      <c r="KKC208" s="199"/>
      <c r="KKD208" s="199"/>
      <c r="KKE208" s="199"/>
      <c r="KKF208" s="199"/>
      <c r="KKG208" s="199"/>
      <c r="KKH208" s="199"/>
      <c r="KKI208" s="199"/>
      <c r="KKJ208" s="199"/>
      <c r="KKK208" s="199"/>
      <c r="KKL208" s="199"/>
      <c r="KKM208" s="199"/>
      <c r="KKN208" s="199"/>
      <c r="KKO208" s="199"/>
      <c r="KKP208" s="199"/>
      <c r="KKQ208" s="199"/>
      <c r="KKR208" s="199"/>
      <c r="KKS208" s="199"/>
      <c r="KKT208" s="199"/>
      <c r="KKU208" s="199"/>
      <c r="KKV208" s="199"/>
      <c r="KKW208" s="199"/>
      <c r="KKX208" s="199"/>
      <c r="KKY208" s="199"/>
      <c r="KKZ208" s="199"/>
      <c r="KLA208" s="199"/>
      <c r="KLB208" s="199"/>
      <c r="KLC208" s="199"/>
      <c r="KLD208" s="199"/>
      <c r="KLE208" s="199"/>
      <c r="KLF208" s="199"/>
      <c r="KLG208" s="199"/>
      <c r="KLH208" s="199"/>
      <c r="KLI208" s="199"/>
      <c r="KLJ208" s="199"/>
      <c r="KLK208" s="199"/>
      <c r="KLL208" s="199"/>
      <c r="KLM208" s="199"/>
      <c r="KLN208" s="199"/>
      <c r="KLO208" s="199"/>
      <c r="KLP208" s="199"/>
      <c r="KLQ208" s="199"/>
      <c r="KLR208" s="199"/>
      <c r="KLS208" s="199"/>
      <c r="KLT208" s="199"/>
      <c r="KLU208" s="199"/>
      <c r="KLV208" s="199"/>
      <c r="KLW208" s="199"/>
      <c r="KLX208" s="199"/>
      <c r="KLY208" s="199"/>
      <c r="KLZ208" s="199"/>
      <c r="KMA208" s="199"/>
      <c r="KMB208" s="199"/>
      <c r="KMC208" s="199"/>
      <c r="KMD208" s="199"/>
      <c r="KME208" s="199"/>
      <c r="KMF208" s="199"/>
      <c r="KMG208" s="199"/>
      <c r="KMH208" s="199"/>
      <c r="KMI208" s="199"/>
      <c r="KMJ208" s="199"/>
      <c r="KMK208" s="199"/>
      <c r="KML208" s="199"/>
      <c r="KMM208" s="199"/>
      <c r="KMN208" s="199"/>
      <c r="KMO208" s="199"/>
      <c r="KMP208" s="199"/>
      <c r="KMQ208" s="199"/>
      <c r="KMR208" s="199"/>
      <c r="KMS208" s="199"/>
      <c r="KMT208" s="199"/>
      <c r="KMU208" s="199"/>
      <c r="KMV208" s="199"/>
      <c r="KMW208" s="199"/>
      <c r="KMX208" s="199"/>
      <c r="KMY208" s="199"/>
      <c r="KMZ208" s="199"/>
      <c r="KNA208" s="199"/>
      <c r="KNB208" s="199"/>
      <c r="KNC208" s="199"/>
      <c r="KND208" s="199"/>
      <c r="KNE208" s="199"/>
      <c r="KNF208" s="199"/>
      <c r="KNG208" s="199"/>
      <c r="KNH208" s="199"/>
      <c r="KNI208" s="199"/>
      <c r="KNJ208" s="199"/>
      <c r="KNK208" s="199"/>
      <c r="KNL208" s="199"/>
      <c r="KNM208" s="199"/>
      <c r="KNN208" s="199"/>
      <c r="KNO208" s="199"/>
      <c r="KNP208" s="199"/>
      <c r="KNQ208" s="199"/>
      <c r="KNR208" s="199"/>
      <c r="KNS208" s="199"/>
      <c r="KNT208" s="199"/>
      <c r="KNU208" s="199"/>
      <c r="KNV208" s="199"/>
      <c r="KNW208" s="199"/>
      <c r="KNX208" s="199"/>
      <c r="KNY208" s="199"/>
      <c r="KNZ208" s="199"/>
      <c r="KOA208" s="199"/>
      <c r="KOB208" s="199"/>
      <c r="KOC208" s="199"/>
      <c r="KOD208" s="199"/>
      <c r="KOE208" s="199"/>
      <c r="KOF208" s="199"/>
      <c r="KOG208" s="199"/>
      <c r="KOH208" s="199"/>
      <c r="KOI208" s="199"/>
      <c r="KOJ208" s="199"/>
      <c r="KOK208" s="199"/>
      <c r="KOL208" s="199"/>
      <c r="KOM208" s="199"/>
      <c r="KON208" s="199"/>
      <c r="KOO208" s="199"/>
      <c r="KOP208" s="199"/>
      <c r="KOQ208" s="199"/>
      <c r="KOR208" s="199"/>
      <c r="KOS208" s="199"/>
      <c r="KOT208" s="199"/>
      <c r="KOU208" s="199"/>
      <c r="KOV208" s="199"/>
      <c r="KOW208" s="199"/>
      <c r="KOX208" s="199"/>
      <c r="KOY208" s="199"/>
      <c r="KOZ208" s="199"/>
      <c r="KPA208" s="199"/>
      <c r="KPB208" s="199"/>
      <c r="KPC208" s="199"/>
      <c r="KPD208" s="199"/>
      <c r="KPE208" s="199"/>
      <c r="KPF208" s="199"/>
      <c r="KPG208" s="199"/>
      <c r="KPH208" s="199"/>
      <c r="KPI208" s="199"/>
      <c r="KPJ208" s="199"/>
      <c r="KPK208" s="199"/>
      <c r="KPL208" s="199"/>
      <c r="KPM208" s="199"/>
      <c r="KPN208" s="199"/>
      <c r="KPO208" s="199"/>
      <c r="KPP208" s="199"/>
      <c r="KPQ208" s="199"/>
      <c r="KPR208" s="199"/>
      <c r="KPS208" s="199"/>
      <c r="KPT208" s="199"/>
      <c r="KPU208" s="199"/>
      <c r="KPV208" s="199"/>
      <c r="KPW208" s="199"/>
      <c r="KPX208" s="199"/>
      <c r="KPY208" s="199"/>
      <c r="KPZ208" s="199"/>
      <c r="KQA208" s="199"/>
      <c r="KQB208" s="199"/>
      <c r="KQC208" s="199"/>
      <c r="KQD208" s="199"/>
      <c r="KQE208" s="199"/>
      <c r="KQF208" s="199"/>
      <c r="KQG208" s="199"/>
      <c r="KQH208" s="199"/>
      <c r="KQI208" s="199"/>
      <c r="KQJ208" s="199"/>
      <c r="KQK208" s="199"/>
      <c r="KQL208" s="199"/>
      <c r="KQM208" s="199"/>
      <c r="KQN208" s="199"/>
      <c r="KQO208" s="199"/>
      <c r="KQP208" s="199"/>
      <c r="KQQ208" s="199"/>
      <c r="KQR208" s="199"/>
      <c r="KQS208" s="199"/>
      <c r="KQT208" s="199"/>
      <c r="KQU208" s="199"/>
      <c r="KQV208" s="199"/>
      <c r="KQW208" s="199"/>
      <c r="KQX208" s="199"/>
      <c r="KQY208" s="199"/>
      <c r="KQZ208" s="199"/>
      <c r="KRA208" s="199"/>
      <c r="KRB208" s="199"/>
      <c r="KRC208" s="199"/>
      <c r="KRD208" s="199"/>
      <c r="KRE208" s="199"/>
      <c r="KRF208" s="199"/>
      <c r="KRG208" s="199"/>
      <c r="KRH208" s="199"/>
      <c r="KRI208" s="199"/>
      <c r="KRJ208" s="199"/>
      <c r="KRK208" s="199"/>
      <c r="KRL208" s="199"/>
      <c r="KRM208" s="199"/>
      <c r="KRN208" s="199"/>
      <c r="KRO208" s="199"/>
      <c r="KRP208" s="199"/>
      <c r="KRQ208" s="199"/>
      <c r="KRR208" s="199"/>
      <c r="KRS208" s="199"/>
      <c r="KRT208" s="199"/>
      <c r="KRU208" s="199"/>
      <c r="KRV208" s="199"/>
      <c r="KRW208" s="199"/>
      <c r="KRX208" s="199"/>
      <c r="KRY208" s="199"/>
      <c r="KRZ208" s="199"/>
      <c r="KSA208" s="199"/>
      <c r="KSB208" s="199"/>
      <c r="KSC208" s="199"/>
      <c r="KSD208" s="199"/>
      <c r="KSE208" s="199"/>
      <c r="KSF208" s="199"/>
      <c r="KSG208" s="199"/>
      <c r="KSH208" s="199"/>
      <c r="KSI208" s="199"/>
      <c r="KSJ208" s="199"/>
      <c r="KSK208" s="199"/>
      <c r="KSL208" s="199"/>
      <c r="KSM208" s="199"/>
      <c r="KSN208" s="199"/>
      <c r="KSO208" s="199"/>
      <c r="KSP208" s="199"/>
      <c r="KSQ208" s="199"/>
      <c r="KSR208" s="199"/>
      <c r="KSS208" s="199"/>
      <c r="KST208" s="199"/>
      <c r="KSU208" s="199"/>
      <c r="KSV208" s="199"/>
      <c r="KSW208" s="199"/>
      <c r="KSX208" s="199"/>
      <c r="KSY208" s="199"/>
      <c r="KSZ208" s="199"/>
      <c r="KTA208" s="199"/>
      <c r="KTB208" s="199"/>
      <c r="KTC208" s="199"/>
      <c r="KTD208" s="199"/>
      <c r="KTE208" s="199"/>
      <c r="KTF208" s="199"/>
      <c r="KTG208" s="199"/>
      <c r="KTH208" s="199"/>
      <c r="KTI208" s="199"/>
      <c r="KTJ208" s="199"/>
      <c r="KTK208" s="199"/>
      <c r="KTL208" s="199"/>
      <c r="KTM208" s="199"/>
      <c r="KTN208" s="199"/>
      <c r="KTO208" s="199"/>
      <c r="KTP208" s="199"/>
      <c r="KTQ208" s="199"/>
      <c r="KTR208" s="199"/>
      <c r="KTS208" s="199"/>
      <c r="KTT208" s="199"/>
      <c r="KTU208" s="199"/>
      <c r="KTV208" s="199"/>
      <c r="KTW208" s="199"/>
      <c r="KTX208" s="199"/>
      <c r="KTY208" s="199"/>
      <c r="KTZ208" s="199"/>
      <c r="KUA208" s="199"/>
      <c r="KUB208" s="199"/>
      <c r="KUC208" s="199"/>
      <c r="KUD208" s="199"/>
      <c r="KUE208" s="199"/>
      <c r="KUF208" s="199"/>
      <c r="KUG208" s="199"/>
      <c r="KUH208" s="199"/>
      <c r="KUI208" s="199"/>
      <c r="KUJ208" s="199"/>
      <c r="KUK208" s="199"/>
      <c r="KUL208" s="199"/>
      <c r="KUM208" s="199"/>
      <c r="KUN208" s="199"/>
      <c r="KUO208" s="199"/>
      <c r="KUP208" s="199"/>
      <c r="KUQ208" s="199"/>
      <c r="KUR208" s="199"/>
      <c r="KUS208" s="199"/>
      <c r="KUT208" s="199"/>
      <c r="KUU208" s="199"/>
      <c r="KUV208" s="199"/>
      <c r="KUW208" s="199"/>
      <c r="KUX208" s="199"/>
      <c r="KUY208" s="199"/>
      <c r="KUZ208" s="199"/>
      <c r="KVA208" s="199"/>
      <c r="KVB208" s="199"/>
      <c r="KVC208" s="199"/>
      <c r="KVD208" s="199"/>
      <c r="KVE208" s="199"/>
      <c r="KVF208" s="199"/>
      <c r="KVG208" s="199"/>
      <c r="KVH208" s="199"/>
      <c r="KVI208" s="199"/>
      <c r="KVJ208" s="199"/>
      <c r="KVK208" s="199"/>
      <c r="KVL208" s="199"/>
      <c r="KVM208" s="199"/>
      <c r="KVN208" s="199"/>
      <c r="KVO208" s="199"/>
      <c r="KVP208" s="199"/>
      <c r="KVQ208" s="199"/>
      <c r="KVR208" s="199"/>
      <c r="KVS208" s="199"/>
      <c r="KVT208" s="199"/>
      <c r="KVU208" s="199"/>
      <c r="KVV208" s="199"/>
      <c r="KVW208" s="199"/>
      <c r="KVX208" s="199"/>
      <c r="KVY208" s="199"/>
      <c r="KVZ208" s="199"/>
      <c r="KWA208" s="199"/>
      <c r="KWB208" s="199"/>
      <c r="KWC208" s="199"/>
      <c r="KWD208" s="199"/>
      <c r="KWE208" s="199"/>
      <c r="KWF208" s="199"/>
      <c r="KWG208" s="199"/>
      <c r="KWH208" s="199"/>
      <c r="KWI208" s="199"/>
      <c r="KWJ208" s="199"/>
      <c r="KWK208" s="199"/>
      <c r="KWL208" s="199"/>
      <c r="KWM208" s="199"/>
      <c r="KWN208" s="199"/>
      <c r="KWO208" s="199"/>
      <c r="KWP208" s="199"/>
      <c r="KWQ208" s="199"/>
      <c r="KWR208" s="199"/>
      <c r="KWS208" s="199"/>
      <c r="KWT208" s="199"/>
      <c r="KWU208" s="199"/>
      <c r="KWV208" s="199"/>
      <c r="KWW208" s="199"/>
      <c r="KWX208" s="199"/>
      <c r="KWY208" s="199"/>
      <c r="KWZ208" s="199"/>
      <c r="KXA208" s="199"/>
      <c r="KXB208" s="199"/>
      <c r="KXC208" s="199"/>
      <c r="KXD208" s="199"/>
      <c r="KXE208" s="199"/>
      <c r="KXF208" s="199"/>
      <c r="KXG208" s="199"/>
      <c r="KXH208" s="199"/>
      <c r="KXI208" s="199"/>
      <c r="KXJ208" s="199"/>
      <c r="KXK208" s="199"/>
      <c r="KXL208" s="199"/>
      <c r="KXM208" s="199"/>
      <c r="KXN208" s="199"/>
      <c r="KXO208" s="199"/>
      <c r="KXP208" s="199"/>
      <c r="KXQ208" s="199"/>
      <c r="KXR208" s="199"/>
      <c r="KXS208" s="199"/>
      <c r="KXT208" s="199"/>
      <c r="KXU208" s="199"/>
      <c r="KXV208" s="199"/>
      <c r="KXW208" s="199"/>
      <c r="KXX208" s="199"/>
      <c r="KXY208" s="199"/>
      <c r="KXZ208" s="199"/>
      <c r="KYA208" s="199"/>
      <c r="KYB208" s="199"/>
      <c r="KYC208" s="199"/>
      <c r="KYD208" s="199"/>
      <c r="KYE208" s="199"/>
      <c r="KYF208" s="199"/>
      <c r="KYG208" s="199"/>
      <c r="KYH208" s="199"/>
      <c r="KYI208" s="199"/>
      <c r="KYJ208" s="199"/>
      <c r="KYK208" s="199"/>
      <c r="KYL208" s="199"/>
      <c r="KYM208" s="199"/>
      <c r="KYN208" s="199"/>
      <c r="KYO208" s="199"/>
      <c r="KYP208" s="199"/>
      <c r="KYQ208" s="199"/>
      <c r="KYR208" s="199"/>
      <c r="KYS208" s="199"/>
      <c r="KYT208" s="199"/>
      <c r="KYU208" s="199"/>
      <c r="KYV208" s="199"/>
      <c r="KYW208" s="199"/>
      <c r="KYX208" s="199"/>
      <c r="KYY208" s="199"/>
      <c r="KYZ208" s="199"/>
      <c r="KZA208" s="199"/>
      <c r="KZB208" s="199"/>
      <c r="KZC208" s="199"/>
      <c r="KZD208" s="199"/>
      <c r="KZE208" s="199"/>
      <c r="KZF208" s="199"/>
      <c r="KZG208" s="199"/>
      <c r="KZH208" s="199"/>
      <c r="KZI208" s="199"/>
      <c r="KZJ208" s="199"/>
      <c r="KZK208" s="199"/>
      <c r="KZL208" s="199"/>
      <c r="KZM208" s="199"/>
      <c r="KZN208" s="199"/>
      <c r="KZO208" s="199"/>
      <c r="KZP208" s="199"/>
      <c r="KZQ208" s="199"/>
      <c r="KZR208" s="199"/>
      <c r="KZS208" s="199"/>
      <c r="KZT208" s="199"/>
      <c r="KZU208" s="199"/>
      <c r="KZV208" s="199"/>
      <c r="KZW208" s="199"/>
      <c r="KZX208" s="199"/>
      <c r="KZY208" s="199"/>
      <c r="KZZ208" s="199"/>
      <c r="LAA208" s="199"/>
      <c r="LAB208" s="199"/>
      <c r="LAC208" s="199"/>
      <c r="LAD208" s="199"/>
      <c r="LAE208" s="199"/>
      <c r="LAF208" s="199"/>
      <c r="LAG208" s="199"/>
      <c r="LAH208" s="199"/>
      <c r="LAI208" s="199"/>
      <c r="LAJ208" s="199"/>
      <c r="LAK208" s="199"/>
      <c r="LAL208" s="199"/>
      <c r="LAM208" s="199"/>
      <c r="LAN208" s="199"/>
      <c r="LAO208" s="199"/>
      <c r="LAP208" s="199"/>
      <c r="LAQ208" s="199"/>
      <c r="LAR208" s="199"/>
      <c r="LAS208" s="199"/>
      <c r="LAT208" s="199"/>
      <c r="LAU208" s="199"/>
      <c r="LAV208" s="199"/>
      <c r="LAW208" s="199"/>
      <c r="LAX208" s="199"/>
      <c r="LAY208" s="199"/>
      <c r="LAZ208" s="199"/>
      <c r="LBA208" s="199"/>
      <c r="LBB208" s="199"/>
      <c r="LBC208" s="199"/>
      <c r="LBD208" s="199"/>
      <c r="LBE208" s="199"/>
      <c r="LBF208" s="199"/>
      <c r="LBG208" s="199"/>
      <c r="LBH208" s="199"/>
      <c r="LBI208" s="199"/>
      <c r="LBJ208" s="199"/>
      <c r="LBK208" s="199"/>
      <c r="LBL208" s="199"/>
      <c r="LBM208" s="199"/>
      <c r="LBN208" s="199"/>
      <c r="LBO208" s="199"/>
      <c r="LBP208" s="199"/>
      <c r="LBQ208" s="199"/>
      <c r="LBR208" s="199"/>
      <c r="LBS208" s="199"/>
      <c r="LBT208" s="199"/>
      <c r="LBU208" s="199"/>
      <c r="LBV208" s="199"/>
      <c r="LBW208" s="199"/>
      <c r="LBX208" s="199"/>
      <c r="LBY208" s="199"/>
      <c r="LBZ208" s="199"/>
      <c r="LCA208" s="199"/>
      <c r="LCB208" s="199"/>
      <c r="LCC208" s="199"/>
      <c r="LCD208" s="199"/>
      <c r="LCE208" s="199"/>
      <c r="LCF208" s="199"/>
      <c r="LCG208" s="199"/>
      <c r="LCH208" s="199"/>
      <c r="LCI208" s="199"/>
      <c r="LCJ208" s="199"/>
      <c r="LCK208" s="199"/>
      <c r="LCL208" s="199"/>
      <c r="LCM208" s="199"/>
      <c r="LCN208" s="199"/>
      <c r="LCO208" s="199"/>
      <c r="LCP208" s="199"/>
      <c r="LCQ208" s="199"/>
      <c r="LCR208" s="199"/>
      <c r="LCS208" s="199"/>
      <c r="LCT208" s="199"/>
      <c r="LCU208" s="199"/>
      <c r="LCV208" s="199"/>
      <c r="LCW208" s="199"/>
      <c r="LCX208" s="199"/>
      <c r="LCY208" s="199"/>
      <c r="LCZ208" s="199"/>
      <c r="LDA208" s="199"/>
      <c r="LDB208" s="199"/>
      <c r="LDC208" s="199"/>
      <c r="LDD208" s="199"/>
      <c r="LDE208" s="199"/>
      <c r="LDF208" s="199"/>
      <c r="LDG208" s="199"/>
      <c r="LDH208" s="199"/>
      <c r="LDI208" s="199"/>
      <c r="LDJ208" s="199"/>
      <c r="LDK208" s="199"/>
      <c r="LDL208" s="199"/>
      <c r="LDM208" s="199"/>
      <c r="LDN208" s="199"/>
      <c r="LDO208" s="199"/>
      <c r="LDP208" s="199"/>
      <c r="LDQ208" s="199"/>
      <c r="LDR208" s="199"/>
      <c r="LDS208" s="199"/>
      <c r="LDT208" s="199"/>
      <c r="LDU208" s="199"/>
      <c r="LDV208" s="199"/>
      <c r="LDW208" s="199"/>
      <c r="LDX208" s="199"/>
      <c r="LDY208" s="199"/>
      <c r="LDZ208" s="199"/>
      <c r="LEA208" s="199"/>
      <c r="LEB208" s="199"/>
      <c r="LEC208" s="199"/>
      <c r="LED208" s="199"/>
      <c r="LEE208" s="199"/>
      <c r="LEF208" s="199"/>
      <c r="LEG208" s="199"/>
      <c r="LEH208" s="199"/>
      <c r="LEI208" s="199"/>
      <c r="LEJ208" s="199"/>
      <c r="LEK208" s="199"/>
      <c r="LEL208" s="199"/>
      <c r="LEM208" s="199"/>
      <c r="LEN208" s="199"/>
      <c r="LEO208" s="199"/>
      <c r="LEP208" s="199"/>
      <c r="LEQ208" s="199"/>
      <c r="LER208" s="199"/>
      <c r="LES208" s="199"/>
      <c r="LET208" s="199"/>
      <c r="LEU208" s="199"/>
      <c r="LEV208" s="199"/>
      <c r="LEW208" s="199"/>
      <c r="LEX208" s="199"/>
      <c r="LEY208" s="199"/>
      <c r="LEZ208" s="199"/>
      <c r="LFA208" s="199"/>
      <c r="LFB208" s="199"/>
      <c r="LFC208" s="199"/>
      <c r="LFD208" s="199"/>
      <c r="LFE208" s="199"/>
      <c r="LFF208" s="199"/>
      <c r="LFG208" s="199"/>
      <c r="LFH208" s="199"/>
      <c r="LFI208" s="199"/>
      <c r="LFJ208" s="199"/>
      <c r="LFK208" s="199"/>
      <c r="LFL208" s="199"/>
      <c r="LFM208" s="199"/>
      <c r="LFN208" s="199"/>
      <c r="LFO208" s="199"/>
      <c r="LFP208" s="199"/>
      <c r="LFQ208" s="199"/>
      <c r="LFR208" s="199"/>
      <c r="LFS208" s="199"/>
      <c r="LFT208" s="199"/>
      <c r="LFU208" s="199"/>
      <c r="LFV208" s="199"/>
      <c r="LFW208" s="199"/>
      <c r="LFX208" s="199"/>
      <c r="LFY208" s="199"/>
      <c r="LFZ208" s="199"/>
      <c r="LGA208" s="199"/>
      <c r="LGB208" s="199"/>
      <c r="LGC208" s="199"/>
      <c r="LGD208" s="199"/>
      <c r="LGE208" s="199"/>
      <c r="LGF208" s="199"/>
      <c r="LGG208" s="199"/>
      <c r="LGH208" s="199"/>
      <c r="LGI208" s="199"/>
      <c r="LGJ208" s="199"/>
      <c r="LGK208" s="199"/>
      <c r="LGL208" s="199"/>
      <c r="LGM208" s="199"/>
      <c r="LGN208" s="199"/>
      <c r="LGO208" s="199"/>
      <c r="LGP208" s="199"/>
      <c r="LGQ208" s="199"/>
      <c r="LGR208" s="199"/>
      <c r="LGS208" s="199"/>
      <c r="LGT208" s="199"/>
      <c r="LGU208" s="199"/>
      <c r="LGV208" s="199"/>
      <c r="LGW208" s="199"/>
      <c r="LGX208" s="199"/>
      <c r="LGY208" s="199"/>
      <c r="LGZ208" s="199"/>
      <c r="LHA208" s="199"/>
      <c r="LHB208" s="199"/>
      <c r="LHC208" s="199"/>
      <c r="LHD208" s="199"/>
      <c r="LHE208" s="199"/>
      <c r="LHF208" s="199"/>
      <c r="LHG208" s="199"/>
      <c r="LHH208" s="199"/>
      <c r="LHI208" s="199"/>
      <c r="LHJ208" s="199"/>
      <c r="LHK208" s="199"/>
      <c r="LHL208" s="199"/>
      <c r="LHM208" s="199"/>
      <c r="LHN208" s="199"/>
      <c r="LHO208" s="199"/>
      <c r="LHP208" s="199"/>
      <c r="LHQ208" s="199"/>
      <c r="LHR208" s="199"/>
      <c r="LHS208" s="199"/>
      <c r="LHT208" s="199"/>
      <c r="LHU208" s="199"/>
      <c r="LHV208" s="199"/>
      <c r="LHW208" s="199"/>
      <c r="LHX208" s="199"/>
      <c r="LHY208" s="199"/>
      <c r="LHZ208" s="199"/>
      <c r="LIA208" s="199"/>
      <c r="LIB208" s="199"/>
      <c r="LIC208" s="199"/>
      <c r="LID208" s="199"/>
      <c r="LIE208" s="199"/>
      <c r="LIF208" s="199"/>
      <c r="LIG208" s="199"/>
      <c r="LIH208" s="199"/>
      <c r="LII208" s="199"/>
      <c r="LIJ208" s="199"/>
      <c r="LIK208" s="199"/>
      <c r="LIL208" s="199"/>
      <c r="LIM208" s="199"/>
      <c r="LIN208" s="199"/>
      <c r="LIO208" s="199"/>
      <c r="LIP208" s="199"/>
      <c r="LIQ208" s="199"/>
      <c r="LIR208" s="199"/>
      <c r="LIS208" s="199"/>
      <c r="LIT208" s="199"/>
      <c r="LIU208" s="199"/>
      <c r="LIV208" s="199"/>
      <c r="LIW208" s="199"/>
      <c r="LIX208" s="199"/>
      <c r="LIY208" s="199"/>
      <c r="LIZ208" s="199"/>
      <c r="LJA208" s="199"/>
      <c r="LJB208" s="199"/>
      <c r="LJC208" s="199"/>
      <c r="LJD208" s="199"/>
      <c r="LJE208" s="199"/>
      <c r="LJF208" s="199"/>
      <c r="LJG208" s="199"/>
      <c r="LJH208" s="199"/>
      <c r="LJI208" s="199"/>
      <c r="LJJ208" s="199"/>
      <c r="LJK208" s="199"/>
      <c r="LJL208" s="199"/>
      <c r="LJM208" s="199"/>
      <c r="LJN208" s="199"/>
      <c r="LJO208" s="199"/>
      <c r="LJP208" s="199"/>
      <c r="LJQ208" s="199"/>
      <c r="LJR208" s="199"/>
      <c r="LJS208" s="199"/>
      <c r="LJT208" s="199"/>
      <c r="LJU208" s="199"/>
      <c r="LJV208" s="199"/>
      <c r="LJW208" s="199"/>
      <c r="LJX208" s="199"/>
      <c r="LJY208" s="199"/>
      <c r="LJZ208" s="199"/>
      <c r="LKA208" s="199"/>
      <c r="LKB208" s="199"/>
      <c r="LKC208" s="199"/>
      <c r="LKD208" s="199"/>
      <c r="LKE208" s="199"/>
      <c r="LKF208" s="199"/>
      <c r="LKG208" s="199"/>
      <c r="LKH208" s="199"/>
      <c r="LKI208" s="199"/>
      <c r="LKJ208" s="199"/>
      <c r="LKK208" s="199"/>
      <c r="LKL208" s="199"/>
      <c r="LKM208" s="199"/>
      <c r="LKN208" s="199"/>
      <c r="LKO208" s="199"/>
      <c r="LKP208" s="199"/>
      <c r="LKQ208" s="199"/>
      <c r="LKR208" s="199"/>
      <c r="LKS208" s="199"/>
      <c r="LKT208" s="199"/>
      <c r="LKU208" s="199"/>
      <c r="LKV208" s="199"/>
      <c r="LKW208" s="199"/>
      <c r="LKX208" s="199"/>
      <c r="LKY208" s="199"/>
      <c r="LKZ208" s="199"/>
      <c r="LLA208" s="199"/>
      <c r="LLB208" s="199"/>
      <c r="LLC208" s="199"/>
      <c r="LLD208" s="199"/>
      <c r="LLE208" s="199"/>
      <c r="LLF208" s="199"/>
      <c r="LLG208" s="199"/>
      <c r="LLH208" s="199"/>
      <c r="LLI208" s="199"/>
      <c r="LLJ208" s="199"/>
      <c r="LLK208" s="199"/>
      <c r="LLL208" s="199"/>
      <c r="LLM208" s="199"/>
      <c r="LLN208" s="199"/>
      <c r="LLO208" s="199"/>
      <c r="LLP208" s="199"/>
      <c r="LLQ208" s="199"/>
      <c r="LLR208" s="199"/>
      <c r="LLS208" s="199"/>
      <c r="LLT208" s="199"/>
      <c r="LLU208" s="199"/>
      <c r="LLV208" s="199"/>
      <c r="LLW208" s="199"/>
      <c r="LLX208" s="199"/>
      <c r="LLY208" s="199"/>
      <c r="LLZ208" s="199"/>
      <c r="LMA208" s="199"/>
      <c r="LMB208" s="199"/>
      <c r="LMC208" s="199"/>
      <c r="LMD208" s="199"/>
      <c r="LME208" s="199"/>
      <c r="LMF208" s="199"/>
      <c r="LMG208" s="199"/>
      <c r="LMH208" s="199"/>
      <c r="LMI208" s="199"/>
      <c r="LMJ208" s="199"/>
      <c r="LMK208" s="199"/>
      <c r="LML208" s="199"/>
      <c r="LMM208" s="199"/>
      <c r="LMN208" s="199"/>
      <c r="LMO208" s="199"/>
      <c r="LMP208" s="199"/>
      <c r="LMQ208" s="199"/>
      <c r="LMR208" s="199"/>
      <c r="LMS208" s="199"/>
      <c r="LMT208" s="199"/>
      <c r="LMU208" s="199"/>
      <c r="LMV208" s="199"/>
      <c r="LMW208" s="199"/>
      <c r="LMX208" s="199"/>
      <c r="LMY208" s="199"/>
      <c r="LMZ208" s="199"/>
      <c r="LNA208" s="199"/>
      <c r="LNB208" s="199"/>
      <c r="LNC208" s="199"/>
      <c r="LND208" s="199"/>
      <c r="LNE208" s="199"/>
      <c r="LNF208" s="199"/>
      <c r="LNG208" s="199"/>
      <c r="LNH208" s="199"/>
      <c r="LNI208" s="199"/>
      <c r="LNJ208" s="199"/>
      <c r="LNK208" s="199"/>
      <c r="LNL208" s="199"/>
      <c r="LNM208" s="199"/>
      <c r="LNN208" s="199"/>
      <c r="LNO208" s="199"/>
      <c r="LNP208" s="199"/>
      <c r="LNQ208" s="199"/>
      <c r="LNR208" s="199"/>
      <c r="LNS208" s="199"/>
      <c r="LNT208" s="199"/>
      <c r="LNU208" s="199"/>
      <c r="LNV208" s="199"/>
      <c r="LNW208" s="199"/>
      <c r="LNX208" s="199"/>
      <c r="LNY208" s="199"/>
      <c r="LNZ208" s="199"/>
      <c r="LOA208" s="199"/>
      <c r="LOB208" s="199"/>
      <c r="LOC208" s="199"/>
      <c r="LOD208" s="199"/>
      <c r="LOE208" s="199"/>
      <c r="LOF208" s="199"/>
      <c r="LOG208" s="199"/>
      <c r="LOH208" s="199"/>
      <c r="LOI208" s="199"/>
      <c r="LOJ208" s="199"/>
      <c r="LOK208" s="199"/>
      <c r="LOL208" s="199"/>
      <c r="LOM208" s="199"/>
      <c r="LON208" s="199"/>
      <c r="LOO208" s="199"/>
      <c r="LOP208" s="199"/>
      <c r="LOQ208" s="199"/>
      <c r="LOR208" s="199"/>
      <c r="LOS208" s="199"/>
      <c r="LOT208" s="199"/>
      <c r="LOU208" s="199"/>
      <c r="LOV208" s="199"/>
      <c r="LOW208" s="199"/>
      <c r="LOX208" s="199"/>
      <c r="LOY208" s="199"/>
      <c r="LOZ208" s="199"/>
      <c r="LPA208" s="199"/>
      <c r="LPB208" s="199"/>
      <c r="LPC208" s="199"/>
      <c r="LPD208" s="199"/>
      <c r="LPE208" s="199"/>
      <c r="LPF208" s="199"/>
      <c r="LPG208" s="199"/>
      <c r="LPH208" s="199"/>
      <c r="LPI208" s="199"/>
      <c r="LPJ208" s="199"/>
      <c r="LPK208" s="199"/>
      <c r="LPL208" s="199"/>
      <c r="LPM208" s="199"/>
      <c r="LPN208" s="199"/>
      <c r="LPO208" s="199"/>
      <c r="LPP208" s="199"/>
      <c r="LPQ208" s="199"/>
      <c r="LPR208" s="199"/>
      <c r="LPS208" s="199"/>
      <c r="LPT208" s="199"/>
      <c r="LPU208" s="199"/>
      <c r="LPV208" s="199"/>
      <c r="LPW208" s="199"/>
      <c r="LPX208" s="199"/>
      <c r="LPY208" s="199"/>
      <c r="LPZ208" s="199"/>
      <c r="LQA208" s="199"/>
      <c r="LQB208" s="199"/>
      <c r="LQC208" s="199"/>
      <c r="LQD208" s="199"/>
      <c r="LQE208" s="199"/>
      <c r="LQF208" s="199"/>
      <c r="LQG208" s="199"/>
      <c r="LQH208" s="199"/>
      <c r="LQI208" s="199"/>
      <c r="LQJ208" s="199"/>
      <c r="LQK208" s="199"/>
      <c r="LQL208" s="199"/>
      <c r="LQM208" s="199"/>
      <c r="LQN208" s="199"/>
      <c r="LQO208" s="199"/>
      <c r="LQP208" s="199"/>
      <c r="LQQ208" s="199"/>
      <c r="LQR208" s="199"/>
      <c r="LQS208" s="199"/>
      <c r="LQT208" s="199"/>
      <c r="LQU208" s="199"/>
      <c r="LQV208" s="199"/>
      <c r="LQW208" s="199"/>
      <c r="LQX208" s="199"/>
      <c r="LQY208" s="199"/>
      <c r="LQZ208" s="199"/>
      <c r="LRA208" s="199"/>
      <c r="LRB208" s="199"/>
      <c r="LRC208" s="199"/>
      <c r="LRD208" s="199"/>
      <c r="LRE208" s="199"/>
      <c r="LRF208" s="199"/>
      <c r="LRG208" s="199"/>
      <c r="LRH208" s="199"/>
      <c r="LRI208" s="199"/>
      <c r="LRJ208" s="199"/>
      <c r="LRK208" s="199"/>
      <c r="LRL208" s="199"/>
      <c r="LRM208" s="199"/>
      <c r="LRN208" s="199"/>
      <c r="LRO208" s="199"/>
      <c r="LRP208" s="199"/>
      <c r="LRQ208" s="199"/>
      <c r="LRR208" s="199"/>
      <c r="LRS208" s="199"/>
      <c r="LRT208" s="199"/>
      <c r="LRU208" s="199"/>
      <c r="LRV208" s="199"/>
      <c r="LRW208" s="199"/>
      <c r="LRX208" s="199"/>
      <c r="LRY208" s="199"/>
      <c r="LRZ208" s="199"/>
      <c r="LSA208" s="199"/>
      <c r="LSB208" s="199"/>
      <c r="LSC208" s="199"/>
      <c r="LSD208" s="199"/>
      <c r="LSE208" s="199"/>
      <c r="LSF208" s="199"/>
      <c r="LSG208" s="199"/>
      <c r="LSH208" s="199"/>
      <c r="LSI208" s="199"/>
      <c r="LSJ208" s="199"/>
      <c r="LSK208" s="199"/>
      <c r="LSL208" s="199"/>
      <c r="LSM208" s="199"/>
      <c r="LSN208" s="199"/>
      <c r="LSO208" s="199"/>
      <c r="LSP208" s="199"/>
      <c r="LSQ208" s="199"/>
      <c r="LSR208" s="199"/>
      <c r="LSS208" s="199"/>
      <c r="LST208" s="199"/>
      <c r="LSU208" s="199"/>
      <c r="LSV208" s="199"/>
      <c r="LSW208" s="199"/>
      <c r="LSX208" s="199"/>
      <c r="LSY208" s="199"/>
      <c r="LSZ208" s="199"/>
      <c r="LTA208" s="199"/>
      <c r="LTB208" s="199"/>
      <c r="LTC208" s="199"/>
      <c r="LTD208" s="199"/>
      <c r="LTE208" s="199"/>
      <c r="LTF208" s="199"/>
      <c r="LTG208" s="199"/>
      <c r="LTH208" s="199"/>
      <c r="LTI208" s="199"/>
      <c r="LTJ208" s="199"/>
      <c r="LTK208" s="199"/>
      <c r="LTL208" s="199"/>
      <c r="LTM208" s="199"/>
      <c r="LTN208" s="199"/>
      <c r="LTO208" s="199"/>
      <c r="LTP208" s="199"/>
      <c r="LTQ208" s="199"/>
      <c r="LTR208" s="199"/>
      <c r="LTS208" s="199"/>
      <c r="LTT208" s="199"/>
      <c r="LTU208" s="199"/>
      <c r="LTV208" s="199"/>
      <c r="LTW208" s="199"/>
      <c r="LTX208" s="199"/>
      <c r="LTY208" s="199"/>
      <c r="LTZ208" s="199"/>
      <c r="LUA208" s="199"/>
      <c r="LUB208" s="199"/>
      <c r="LUC208" s="199"/>
      <c r="LUD208" s="199"/>
      <c r="LUE208" s="199"/>
      <c r="LUF208" s="199"/>
      <c r="LUG208" s="199"/>
      <c r="LUH208" s="199"/>
      <c r="LUI208" s="199"/>
      <c r="LUJ208" s="199"/>
      <c r="LUK208" s="199"/>
      <c r="LUL208" s="199"/>
      <c r="LUM208" s="199"/>
      <c r="LUN208" s="199"/>
      <c r="LUO208" s="199"/>
      <c r="LUP208" s="199"/>
      <c r="LUQ208" s="199"/>
      <c r="LUR208" s="199"/>
      <c r="LUS208" s="199"/>
      <c r="LUT208" s="199"/>
      <c r="LUU208" s="199"/>
      <c r="LUV208" s="199"/>
      <c r="LUW208" s="199"/>
      <c r="LUX208" s="199"/>
      <c r="LUY208" s="199"/>
      <c r="LUZ208" s="199"/>
      <c r="LVA208" s="199"/>
      <c r="LVB208" s="199"/>
      <c r="LVC208" s="199"/>
      <c r="LVD208" s="199"/>
      <c r="LVE208" s="199"/>
      <c r="LVF208" s="199"/>
      <c r="LVG208" s="199"/>
      <c r="LVH208" s="199"/>
      <c r="LVI208" s="199"/>
      <c r="LVJ208" s="199"/>
      <c r="LVK208" s="199"/>
      <c r="LVL208" s="199"/>
      <c r="LVM208" s="199"/>
      <c r="LVN208" s="199"/>
      <c r="LVO208" s="199"/>
      <c r="LVP208" s="199"/>
      <c r="LVQ208" s="199"/>
      <c r="LVR208" s="199"/>
      <c r="LVS208" s="199"/>
      <c r="LVT208" s="199"/>
      <c r="LVU208" s="199"/>
      <c r="LVV208" s="199"/>
      <c r="LVW208" s="199"/>
      <c r="LVX208" s="199"/>
      <c r="LVY208" s="199"/>
      <c r="LVZ208" s="199"/>
      <c r="LWA208" s="199"/>
      <c r="LWB208" s="199"/>
      <c r="LWC208" s="199"/>
      <c r="LWD208" s="199"/>
      <c r="LWE208" s="199"/>
      <c r="LWF208" s="199"/>
      <c r="LWG208" s="199"/>
      <c r="LWH208" s="199"/>
      <c r="LWI208" s="199"/>
      <c r="LWJ208" s="199"/>
      <c r="LWK208" s="199"/>
      <c r="LWL208" s="199"/>
      <c r="LWM208" s="199"/>
      <c r="LWN208" s="199"/>
      <c r="LWO208" s="199"/>
      <c r="LWP208" s="199"/>
      <c r="LWQ208" s="199"/>
      <c r="LWR208" s="199"/>
      <c r="LWS208" s="199"/>
      <c r="LWT208" s="199"/>
      <c r="LWU208" s="199"/>
      <c r="LWV208" s="199"/>
      <c r="LWW208" s="199"/>
      <c r="LWX208" s="199"/>
      <c r="LWY208" s="199"/>
      <c r="LWZ208" s="199"/>
      <c r="LXA208" s="199"/>
      <c r="LXB208" s="199"/>
      <c r="LXC208" s="199"/>
      <c r="LXD208" s="199"/>
      <c r="LXE208" s="199"/>
      <c r="LXF208" s="199"/>
      <c r="LXG208" s="199"/>
      <c r="LXH208" s="199"/>
      <c r="LXI208" s="199"/>
      <c r="LXJ208" s="199"/>
      <c r="LXK208" s="199"/>
      <c r="LXL208" s="199"/>
      <c r="LXM208" s="199"/>
      <c r="LXN208" s="199"/>
      <c r="LXO208" s="199"/>
      <c r="LXP208" s="199"/>
      <c r="LXQ208" s="199"/>
      <c r="LXR208" s="199"/>
      <c r="LXS208" s="199"/>
      <c r="LXT208" s="199"/>
      <c r="LXU208" s="199"/>
      <c r="LXV208" s="199"/>
      <c r="LXW208" s="199"/>
      <c r="LXX208" s="199"/>
      <c r="LXY208" s="199"/>
      <c r="LXZ208" s="199"/>
      <c r="LYA208" s="199"/>
      <c r="LYB208" s="199"/>
      <c r="LYC208" s="199"/>
      <c r="LYD208" s="199"/>
      <c r="LYE208" s="199"/>
      <c r="LYF208" s="199"/>
      <c r="LYG208" s="199"/>
      <c r="LYH208" s="199"/>
      <c r="LYI208" s="199"/>
      <c r="LYJ208" s="199"/>
      <c r="LYK208" s="199"/>
      <c r="LYL208" s="199"/>
      <c r="LYM208" s="199"/>
      <c r="LYN208" s="199"/>
      <c r="LYO208" s="199"/>
      <c r="LYP208" s="199"/>
      <c r="LYQ208" s="199"/>
      <c r="LYR208" s="199"/>
      <c r="LYS208" s="199"/>
      <c r="LYT208" s="199"/>
      <c r="LYU208" s="199"/>
      <c r="LYV208" s="199"/>
      <c r="LYW208" s="199"/>
      <c r="LYX208" s="199"/>
      <c r="LYY208" s="199"/>
      <c r="LYZ208" s="199"/>
      <c r="LZA208" s="199"/>
      <c r="LZB208" s="199"/>
      <c r="LZC208" s="199"/>
      <c r="LZD208" s="199"/>
      <c r="LZE208" s="199"/>
      <c r="LZF208" s="199"/>
      <c r="LZG208" s="199"/>
      <c r="LZH208" s="199"/>
      <c r="LZI208" s="199"/>
      <c r="LZJ208" s="199"/>
      <c r="LZK208" s="199"/>
      <c r="LZL208" s="199"/>
      <c r="LZM208" s="199"/>
      <c r="LZN208" s="199"/>
      <c r="LZO208" s="199"/>
      <c r="LZP208" s="199"/>
      <c r="LZQ208" s="199"/>
      <c r="LZR208" s="199"/>
      <c r="LZS208" s="199"/>
      <c r="LZT208" s="199"/>
      <c r="LZU208" s="199"/>
      <c r="LZV208" s="199"/>
      <c r="LZW208" s="199"/>
      <c r="LZX208" s="199"/>
      <c r="LZY208" s="199"/>
      <c r="LZZ208" s="199"/>
      <c r="MAA208" s="199"/>
      <c r="MAB208" s="199"/>
      <c r="MAC208" s="199"/>
      <c r="MAD208" s="199"/>
      <c r="MAE208" s="199"/>
      <c r="MAF208" s="199"/>
      <c r="MAG208" s="199"/>
      <c r="MAH208" s="199"/>
      <c r="MAI208" s="199"/>
      <c r="MAJ208" s="199"/>
      <c r="MAK208" s="199"/>
      <c r="MAL208" s="199"/>
      <c r="MAM208" s="199"/>
      <c r="MAN208" s="199"/>
      <c r="MAO208" s="199"/>
      <c r="MAP208" s="199"/>
      <c r="MAQ208" s="199"/>
      <c r="MAR208" s="199"/>
      <c r="MAS208" s="199"/>
      <c r="MAT208" s="199"/>
      <c r="MAU208" s="199"/>
      <c r="MAV208" s="199"/>
      <c r="MAW208" s="199"/>
      <c r="MAX208" s="199"/>
      <c r="MAY208" s="199"/>
      <c r="MAZ208" s="199"/>
      <c r="MBA208" s="199"/>
      <c r="MBB208" s="199"/>
      <c r="MBC208" s="199"/>
      <c r="MBD208" s="199"/>
      <c r="MBE208" s="199"/>
      <c r="MBF208" s="199"/>
      <c r="MBG208" s="199"/>
      <c r="MBH208" s="199"/>
      <c r="MBI208" s="199"/>
      <c r="MBJ208" s="199"/>
      <c r="MBK208" s="199"/>
      <c r="MBL208" s="199"/>
      <c r="MBM208" s="199"/>
      <c r="MBN208" s="199"/>
      <c r="MBO208" s="199"/>
      <c r="MBP208" s="199"/>
      <c r="MBQ208" s="199"/>
      <c r="MBR208" s="199"/>
      <c r="MBS208" s="199"/>
      <c r="MBT208" s="199"/>
      <c r="MBU208" s="199"/>
      <c r="MBV208" s="199"/>
      <c r="MBW208" s="199"/>
      <c r="MBX208" s="199"/>
      <c r="MBY208" s="199"/>
      <c r="MBZ208" s="199"/>
      <c r="MCA208" s="199"/>
      <c r="MCB208" s="199"/>
      <c r="MCC208" s="199"/>
      <c r="MCD208" s="199"/>
      <c r="MCE208" s="199"/>
      <c r="MCF208" s="199"/>
      <c r="MCG208" s="199"/>
      <c r="MCH208" s="199"/>
      <c r="MCI208" s="199"/>
      <c r="MCJ208" s="199"/>
      <c r="MCK208" s="199"/>
      <c r="MCL208" s="199"/>
      <c r="MCM208" s="199"/>
      <c r="MCN208" s="199"/>
      <c r="MCO208" s="199"/>
      <c r="MCP208" s="199"/>
      <c r="MCQ208" s="199"/>
      <c r="MCR208" s="199"/>
      <c r="MCS208" s="199"/>
      <c r="MCT208" s="199"/>
      <c r="MCU208" s="199"/>
      <c r="MCV208" s="199"/>
      <c r="MCW208" s="199"/>
      <c r="MCX208" s="199"/>
      <c r="MCY208" s="199"/>
      <c r="MCZ208" s="199"/>
      <c r="MDA208" s="199"/>
      <c r="MDB208" s="199"/>
      <c r="MDC208" s="199"/>
      <c r="MDD208" s="199"/>
      <c r="MDE208" s="199"/>
      <c r="MDF208" s="199"/>
      <c r="MDG208" s="199"/>
      <c r="MDH208" s="199"/>
      <c r="MDI208" s="199"/>
      <c r="MDJ208" s="199"/>
      <c r="MDK208" s="199"/>
      <c r="MDL208" s="199"/>
      <c r="MDM208" s="199"/>
      <c r="MDN208" s="199"/>
      <c r="MDO208" s="199"/>
      <c r="MDP208" s="199"/>
      <c r="MDQ208" s="199"/>
      <c r="MDR208" s="199"/>
      <c r="MDS208" s="199"/>
      <c r="MDT208" s="199"/>
      <c r="MDU208" s="199"/>
      <c r="MDV208" s="199"/>
      <c r="MDW208" s="199"/>
      <c r="MDX208" s="199"/>
      <c r="MDY208" s="199"/>
      <c r="MDZ208" s="199"/>
      <c r="MEA208" s="199"/>
      <c r="MEB208" s="199"/>
      <c r="MEC208" s="199"/>
      <c r="MED208" s="199"/>
      <c r="MEE208" s="199"/>
      <c r="MEF208" s="199"/>
      <c r="MEG208" s="199"/>
      <c r="MEH208" s="199"/>
      <c r="MEI208" s="199"/>
      <c r="MEJ208" s="199"/>
      <c r="MEK208" s="199"/>
      <c r="MEL208" s="199"/>
      <c r="MEM208" s="199"/>
      <c r="MEN208" s="199"/>
      <c r="MEO208" s="199"/>
      <c r="MEP208" s="199"/>
      <c r="MEQ208" s="199"/>
      <c r="MER208" s="199"/>
      <c r="MES208" s="199"/>
      <c r="MET208" s="199"/>
      <c r="MEU208" s="199"/>
      <c r="MEV208" s="199"/>
      <c r="MEW208" s="199"/>
      <c r="MEX208" s="199"/>
      <c r="MEY208" s="199"/>
      <c r="MEZ208" s="199"/>
      <c r="MFA208" s="199"/>
      <c r="MFB208" s="199"/>
      <c r="MFC208" s="199"/>
      <c r="MFD208" s="199"/>
      <c r="MFE208" s="199"/>
      <c r="MFF208" s="199"/>
      <c r="MFG208" s="199"/>
      <c r="MFH208" s="199"/>
      <c r="MFI208" s="199"/>
      <c r="MFJ208" s="199"/>
      <c r="MFK208" s="199"/>
      <c r="MFL208" s="199"/>
      <c r="MFM208" s="199"/>
      <c r="MFN208" s="199"/>
      <c r="MFO208" s="199"/>
      <c r="MFP208" s="199"/>
      <c r="MFQ208" s="199"/>
      <c r="MFR208" s="199"/>
      <c r="MFS208" s="199"/>
      <c r="MFT208" s="199"/>
      <c r="MFU208" s="199"/>
      <c r="MFV208" s="199"/>
      <c r="MFW208" s="199"/>
      <c r="MFX208" s="199"/>
      <c r="MFY208" s="199"/>
      <c r="MFZ208" s="199"/>
      <c r="MGA208" s="199"/>
      <c r="MGB208" s="199"/>
      <c r="MGC208" s="199"/>
      <c r="MGD208" s="199"/>
      <c r="MGE208" s="199"/>
      <c r="MGF208" s="199"/>
      <c r="MGG208" s="199"/>
      <c r="MGH208" s="199"/>
      <c r="MGI208" s="199"/>
      <c r="MGJ208" s="199"/>
      <c r="MGK208" s="199"/>
      <c r="MGL208" s="199"/>
      <c r="MGM208" s="199"/>
      <c r="MGN208" s="199"/>
      <c r="MGO208" s="199"/>
      <c r="MGP208" s="199"/>
      <c r="MGQ208" s="199"/>
      <c r="MGR208" s="199"/>
      <c r="MGS208" s="199"/>
      <c r="MGT208" s="199"/>
      <c r="MGU208" s="199"/>
      <c r="MGV208" s="199"/>
      <c r="MGW208" s="199"/>
      <c r="MGX208" s="199"/>
      <c r="MGY208" s="199"/>
      <c r="MGZ208" s="199"/>
      <c r="MHA208" s="199"/>
      <c r="MHB208" s="199"/>
      <c r="MHC208" s="199"/>
      <c r="MHD208" s="199"/>
      <c r="MHE208" s="199"/>
      <c r="MHF208" s="199"/>
      <c r="MHG208" s="199"/>
      <c r="MHH208" s="199"/>
      <c r="MHI208" s="199"/>
      <c r="MHJ208" s="199"/>
      <c r="MHK208" s="199"/>
      <c r="MHL208" s="199"/>
      <c r="MHM208" s="199"/>
      <c r="MHN208" s="199"/>
      <c r="MHO208" s="199"/>
      <c r="MHP208" s="199"/>
      <c r="MHQ208" s="199"/>
      <c r="MHR208" s="199"/>
      <c r="MHS208" s="199"/>
      <c r="MHT208" s="199"/>
      <c r="MHU208" s="199"/>
      <c r="MHV208" s="199"/>
      <c r="MHW208" s="199"/>
      <c r="MHX208" s="199"/>
      <c r="MHY208" s="199"/>
      <c r="MHZ208" s="199"/>
      <c r="MIA208" s="199"/>
      <c r="MIB208" s="199"/>
      <c r="MIC208" s="199"/>
      <c r="MID208" s="199"/>
      <c r="MIE208" s="199"/>
      <c r="MIF208" s="199"/>
      <c r="MIG208" s="199"/>
      <c r="MIH208" s="199"/>
      <c r="MII208" s="199"/>
      <c r="MIJ208" s="199"/>
      <c r="MIK208" s="199"/>
      <c r="MIL208" s="199"/>
      <c r="MIM208" s="199"/>
      <c r="MIN208" s="199"/>
      <c r="MIO208" s="199"/>
      <c r="MIP208" s="199"/>
      <c r="MIQ208" s="199"/>
      <c r="MIR208" s="199"/>
      <c r="MIS208" s="199"/>
      <c r="MIT208" s="199"/>
      <c r="MIU208" s="199"/>
      <c r="MIV208" s="199"/>
      <c r="MIW208" s="199"/>
      <c r="MIX208" s="199"/>
      <c r="MIY208" s="199"/>
      <c r="MIZ208" s="199"/>
      <c r="MJA208" s="199"/>
      <c r="MJB208" s="199"/>
      <c r="MJC208" s="199"/>
      <c r="MJD208" s="199"/>
      <c r="MJE208" s="199"/>
      <c r="MJF208" s="199"/>
      <c r="MJG208" s="199"/>
      <c r="MJH208" s="199"/>
      <c r="MJI208" s="199"/>
      <c r="MJJ208" s="199"/>
      <c r="MJK208" s="199"/>
      <c r="MJL208" s="199"/>
      <c r="MJM208" s="199"/>
      <c r="MJN208" s="199"/>
      <c r="MJO208" s="199"/>
      <c r="MJP208" s="199"/>
      <c r="MJQ208" s="199"/>
      <c r="MJR208" s="199"/>
      <c r="MJS208" s="199"/>
      <c r="MJT208" s="199"/>
      <c r="MJU208" s="199"/>
      <c r="MJV208" s="199"/>
      <c r="MJW208" s="199"/>
      <c r="MJX208" s="199"/>
      <c r="MJY208" s="199"/>
      <c r="MJZ208" s="199"/>
      <c r="MKA208" s="199"/>
      <c r="MKB208" s="199"/>
      <c r="MKC208" s="199"/>
      <c r="MKD208" s="199"/>
      <c r="MKE208" s="199"/>
      <c r="MKF208" s="199"/>
      <c r="MKG208" s="199"/>
      <c r="MKH208" s="199"/>
      <c r="MKI208" s="199"/>
      <c r="MKJ208" s="199"/>
      <c r="MKK208" s="199"/>
      <c r="MKL208" s="199"/>
      <c r="MKM208" s="199"/>
      <c r="MKN208" s="199"/>
      <c r="MKO208" s="199"/>
      <c r="MKP208" s="199"/>
      <c r="MKQ208" s="199"/>
      <c r="MKR208" s="199"/>
      <c r="MKS208" s="199"/>
      <c r="MKT208" s="199"/>
      <c r="MKU208" s="199"/>
      <c r="MKV208" s="199"/>
      <c r="MKW208" s="199"/>
      <c r="MKX208" s="199"/>
      <c r="MKY208" s="199"/>
      <c r="MKZ208" s="199"/>
      <c r="MLA208" s="199"/>
      <c r="MLB208" s="199"/>
      <c r="MLC208" s="199"/>
      <c r="MLD208" s="199"/>
      <c r="MLE208" s="199"/>
      <c r="MLF208" s="199"/>
      <c r="MLG208" s="199"/>
      <c r="MLH208" s="199"/>
      <c r="MLI208" s="199"/>
      <c r="MLJ208" s="199"/>
      <c r="MLK208" s="199"/>
      <c r="MLL208" s="199"/>
      <c r="MLM208" s="199"/>
      <c r="MLN208" s="199"/>
      <c r="MLO208" s="199"/>
      <c r="MLP208" s="199"/>
      <c r="MLQ208" s="199"/>
      <c r="MLR208" s="199"/>
      <c r="MLS208" s="199"/>
      <c r="MLT208" s="199"/>
      <c r="MLU208" s="199"/>
      <c r="MLV208" s="199"/>
      <c r="MLW208" s="199"/>
      <c r="MLX208" s="199"/>
      <c r="MLY208" s="199"/>
      <c r="MLZ208" s="199"/>
      <c r="MMA208" s="199"/>
      <c r="MMB208" s="199"/>
      <c r="MMC208" s="199"/>
      <c r="MMD208" s="199"/>
      <c r="MME208" s="199"/>
      <c r="MMF208" s="199"/>
      <c r="MMG208" s="199"/>
      <c r="MMH208" s="199"/>
      <c r="MMI208" s="199"/>
      <c r="MMJ208" s="199"/>
      <c r="MMK208" s="199"/>
      <c r="MML208" s="199"/>
      <c r="MMM208" s="199"/>
      <c r="MMN208" s="199"/>
      <c r="MMO208" s="199"/>
      <c r="MMP208" s="199"/>
      <c r="MMQ208" s="199"/>
      <c r="MMR208" s="199"/>
      <c r="MMS208" s="199"/>
      <c r="MMT208" s="199"/>
      <c r="MMU208" s="199"/>
      <c r="MMV208" s="199"/>
      <c r="MMW208" s="199"/>
      <c r="MMX208" s="199"/>
      <c r="MMY208" s="199"/>
      <c r="MMZ208" s="199"/>
      <c r="MNA208" s="199"/>
      <c r="MNB208" s="199"/>
      <c r="MNC208" s="199"/>
      <c r="MND208" s="199"/>
      <c r="MNE208" s="199"/>
      <c r="MNF208" s="199"/>
      <c r="MNG208" s="199"/>
      <c r="MNH208" s="199"/>
      <c r="MNI208" s="199"/>
      <c r="MNJ208" s="199"/>
      <c r="MNK208" s="199"/>
      <c r="MNL208" s="199"/>
      <c r="MNM208" s="199"/>
      <c r="MNN208" s="199"/>
      <c r="MNO208" s="199"/>
      <c r="MNP208" s="199"/>
      <c r="MNQ208" s="199"/>
      <c r="MNR208" s="199"/>
      <c r="MNS208" s="199"/>
      <c r="MNT208" s="199"/>
      <c r="MNU208" s="199"/>
      <c r="MNV208" s="199"/>
      <c r="MNW208" s="199"/>
      <c r="MNX208" s="199"/>
      <c r="MNY208" s="199"/>
      <c r="MNZ208" s="199"/>
      <c r="MOA208" s="199"/>
      <c r="MOB208" s="199"/>
      <c r="MOC208" s="199"/>
      <c r="MOD208" s="199"/>
      <c r="MOE208" s="199"/>
      <c r="MOF208" s="199"/>
      <c r="MOG208" s="199"/>
      <c r="MOH208" s="199"/>
      <c r="MOI208" s="199"/>
      <c r="MOJ208" s="199"/>
      <c r="MOK208" s="199"/>
      <c r="MOL208" s="199"/>
      <c r="MOM208" s="199"/>
      <c r="MON208" s="199"/>
      <c r="MOO208" s="199"/>
      <c r="MOP208" s="199"/>
      <c r="MOQ208" s="199"/>
      <c r="MOR208" s="199"/>
      <c r="MOS208" s="199"/>
      <c r="MOT208" s="199"/>
      <c r="MOU208" s="199"/>
      <c r="MOV208" s="199"/>
      <c r="MOW208" s="199"/>
      <c r="MOX208" s="199"/>
      <c r="MOY208" s="199"/>
      <c r="MOZ208" s="199"/>
      <c r="MPA208" s="199"/>
      <c r="MPB208" s="199"/>
      <c r="MPC208" s="199"/>
      <c r="MPD208" s="199"/>
      <c r="MPE208" s="199"/>
      <c r="MPF208" s="199"/>
      <c r="MPG208" s="199"/>
      <c r="MPH208" s="199"/>
      <c r="MPI208" s="199"/>
      <c r="MPJ208" s="199"/>
      <c r="MPK208" s="199"/>
      <c r="MPL208" s="199"/>
      <c r="MPM208" s="199"/>
      <c r="MPN208" s="199"/>
      <c r="MPO208" s="199"/>
      <c r="MPP208" s="199"/>
      <c r="MPQ208" s="199"/>
      <c r="MPR208" s="199"/>
      <c r="MPS208" s="199"/>
      <c r="MPT208" s="199"/>
      <c r="MPU208" s="199"/>
      <c r="MPV208" s="199"/>
      <c r="MPW208" s="199"/>
      <c r="MPX208" s="199"/>
      <c r="MPY208" s="199"/>
      <c r="MPZ208" s="199"/>
      <c r="MQA208" s="199"/>
      <c r="MQB208" s="199"/>
      <c r="MQC208" s="199"/>
      <c r="MQD208" s="199"/>
      <c r="MQE208" s="199"/>
      <c r="MQF208" s="199"/>
      <c r="MQG208" s="199"/>
      <c r="MQH208" s="199"/>
      <c r="MQI208" s="199"/>
      <c r="MQJ208" s="199"/>
      <c r="MQK208" s="199"/>
      <c r="MQL208" s="199"/>
      <c r="MQM208" s="199"/>
      <c r="MQN208" s="199"/>
      <c r="MQO208" s="199"/>
      <c r="MQP208" s="199"/>
      <c r="MQQ208" s="199"/>
      <c r="MQR208" s="199"/>
      <c r="MQS208" s="199"/>
      <c r="MQT208" s="199"/>
      <c r="MQU208" s="199"/>
      <c r="MQV208" s="199"/>
      <c r="MQW208" s="199"/>
      <c r="MQX208" s="199"/>
      <c r="MQY208" s="199"/>
      <c r="MQZ208" s="199"/>
      <c r="MRA208" s="199"/>
      <c r="MRB208" s="199"/>
      <c r="MRC208" s="199"/>
      <c r="MRD208" s="199"/>
      <c r="MRE208" s="199"/>
      <c r="MRF208" s="199"/>
      <c r="MRG208" s="199"/>
      <c r="MRH208" s="199"/>
      <c r="MRI208" s="199"/>
      <c r="MRJ208" s="199"/>
      <c r="MRK208" s="199"/>
      <c r="MRL208" s="199"/>
      <c r="MRM208" s="199"/>
      <c r="MRN208" s="199"/>
      <c r="MRO208" s="199"/>
      <c r="MRP208" s="199"/>
      <c r="MRQ208" s="199"/>
      <c r="MRR208" s="199"/>
      <c r="MRS208" s="199"/>
      <c r="MRT208" s="199"/>
      <c r="MRU208" s="199"/>
      <c r="MRV208" s="199"/>
      <c r="MRW208" s="199"/>
      <c r="MRX208" s="199"/>
      <c r="MRY208" s="199"/>
      <c r="MRZ208" s="199"/>
      <c r="MSA208" s="199"/>
      <c r="MSB208" s="199"/>
      <c r="MSC208" s="199"/>
      <c r="MSD208" s="199"/>
      <c r="MSE208" s="199"/>
      <c r="MSF208" s="199"/>
      <c r="MSG208" s="199"/>
      <c r="MSH208" s="199"/>
      <c r="MSI208" s="199"/>
      <c r="MSJ208" s="199"/>
      <c r="MSK208" s="199"/>
      <c r="MSL208" s="199"/>
      <c r="MSM208" s="199"/>
      <c r="MSN208" s="199"/>
      <c r="MSO208" s="199"/>
      <c r="MSP208" s="199"/>
      <c r="MSQ208" s="199"/>
      <c r="MSR208" s="199"/>
      <c r="MSS208" s="199"/>
      <c r="MST208" s="199"/>
      <c r="MSU208" s="199"/>
      <c r="MSV208" s="199"/>
      <c r="MSW208" s="199"/>
      <c r="MSX208" s="199"/>
      <c r="MSY208" s="199"/>
      <c r="MSZ208" s="199"/>
      <c r="MTA208" s="199"/>
      <c r="MTB208" s="199"/>
      <c r="MTC208" s="199"/>
      <c r="MTD208" s="199"/>
      <c r="MTE208" s="199"/>
      <c r="MTF208" s="199"/>
      <c r="MTG208" s="199"/>
      <c r="MTH208" s="199"/>
      <c r="MTI208" s="199"/>
      <c r="MTJ208" s="199"/>
      <c r="MTK208" s="199"/>
      <c r="MTL208" s="199"/>
      <c r="MTM208" s="199"/>
      <c r="MTN208" s="199"/>
      <c r="MTO208" s="199"/>
      <c r="MTP208" s="199"/>
      <c r="MTQ208" s="199"/>
      <c r="MTR208" s="199"/>
      <c r="MTS208" s="199"/>
      <c r="MTT208" s="199"/>
      <c r="MTU208" s="199"/>
      <c r="MTV208" s="199"/>
      <c r="MTW208" s="199"/>
      <c r="MTX208" s="199"/>
      <c r="MTY208" s="199"/>
      <c r="MTZ208" s="199"/>
      <c r="MUA208" s="199"/>
      <c r="MUB208" s="199"/>
      <c r="MUC208" s="199"/>
      <c r="MUD208" s="199"/>
      <c r="MUE208" s="199"/>
      <c r="MUF208" s="199"/>
      <c r="MUG208" s="199"/>
      <c r="MUH208" s="199"/>
      <c r="MUI208" s="199"/>
      <c r="MUJ208" s="199"/>
      <c r="MUK208" s="199"/>
      <c r="MUL208" s="199"/>
      <c r="MUM208" s="199"/>
      <c r="MUN208" s="199"/>
      <c r="MUO208" s="199"/>
      <c r="MUP208" s="199"/>
      <c r="MUQ208" s="199"/>
      <c r="MUR208" s="199"/>
      <c r="MUS208" s="199"/>
      <c r="MUT208" s="199"/>
      <c r="MUU208" s="199"/>
      <c r="MUV208" s="199"/>
      <c r="MUW208" s="199"/>
      <c r="MUX208" s="199"/>
      <c r="MUY208" s="199"/>
      <c r="MUZ208" s="199"/>
      <c r="MVA208" s="199"/>
      <c r="MVB208" s="199"/>
      <c r="MVC208" s="199"/>
      <c r="MVD208" s="199"/>
      <c r="MVE208" s="199"/>
      <c r="MVF208" s="199"/>
      <c r="MVG208" s="199"/>
      <c r="MVH208" s="199"/>
      <c r="MVI208" s="199"/>
      <c r="MVJ208" s="199"/>
      <c r="MVK208" s="199"/>
      <c r="MVL208" s="199"/>
      <c r="MVM208" s="199"/>
      <c r="MVN208" s="199"/>
      <c r="MVO208" s="199"/>
      <c r="MVP208" s="199"/>
      <c r="MVQ208" s="199"/>
      <c r="MVR208" s="199"/>
      <c r="MVS208" s="199"/>
      <c r="MVT208" s="199"/>
      <c r="MVU208" s="199"/>
      <c r="MVV208" s="199"/>
      <c r="MVW208" s="199"/>
      <c r="MVX208" s="199"/>
      <c r="MVY208" s="199"/>
      <c r="MVZ208" s="199"/>
      <c r="MWA208" s="199"/>
      <c r="MWB208" s="199"/>
      <c r="MWC208" s="199"/>
      <c r="MWD208" s="199"/>
      <c r="MWE208" s="199"/>
      <c r="MWF208" s="199"/>
      <c r="MWG208" s="199"/>
      <c r="MWH208" s="199"/>
      <c r="MWI208" s="199"/>
      <c r="MWJ208" s="199"/>
      <c r="MWK208" s="199"/>
      <c r="MWL208" s="199"/>
      <c r="MWM208" s="199"/>
      <c r="MWN208" s="199"/>
      <c r="MWO208" s="199"/>
      <c r="MWP208" s="199"/>
      <c r="MWQ208" s="199"/>
      <c r="MWR208" s="199"/>
      <c r="MWS208" s="199"/>
      <c r="MWT208" s="199"/>
      <c r="MWU208" s="199"/>
      <c r="MWV208" s="199"/>
      <c r="MWW208" s="199"/>
      <c r="MWX208" s="199"/>
      <c r="MWY208" s="199"/>
      <c r="MWZ208" s="199"/>
      <c r="MXA208" s="199"/>
      <c r="MXB208" s="199"/>
      <c r="MXC208" s="199"/>
      <c r="MXD208" s="199"/>
      <c r="MXE208" s="199"/>
      <c r="MXF208" s="199"/>
      <c r="MXG208" s="199"/>
      <c r="MXH208" s="199"/>
      <c r="MXI208" s="199"/>
      <c r="MXJ208" s="199"/>
      <c r="MXK208" s="199"/>
      <c r="MXL208" s="199"/>
      <c r="MXM208" s="199"/>
      <c r="MXN208" s="199"/>
      <c r="MXO208" s="199"/>
      <c r="MXP208" s="199"/>
      <c r="MXQ208" s="199"/>
      <c r="MXR208" s="199"/>
      <c r="MXS208" s="199"/>
      <c r="MXT208" s="199"/>
      <c r="MXU208" s="199"/>
      <c r="MXV208" s="199"/>
      <c r="MXW208" s="199"/>
      <c r="MXX208" s="199"/>
      <c r="MXY208" s="199"/>
      <c r="MXZ208" s="199"/>
      <c r="MYA208" s="199"/>
      <c r="MYB208" s="199"/>
      <c r="MYC208" s="199"/>
      <c r="MYD208" s="199"/>
      <c r="MYE208" s="199"/>
      <c r="MYF208" s="199"/>
      <c r="MYG208" s="199"/>
      <c r="MYH208" s="199"/>
      <c r="MYI208" s="199"/>
      <c r="MYJ208" s="199"/>
      <c r="MYK208" s="199"/>
      <c r="MYL208" s="199"/>
      <c r="MYM208" s="199"/>
      <c r="MYN208" s="199"/>
      <c r="MYO208" s="199"/>
      <c r="MYP208" s="199"/>
      <c r="MYQ208" s="199"/>
      <c r="MYR208" s="199"/>
      <c r="MYS208" s="199"/>
      <c r="MYT208" s="199"/>
      <c r="MYU208" s="199"/>
      <c r="MYV208" s="199"/>
      <c r="MYW208" s="199"/>
      <c r="MYX208" s="199"/>
      <c r="MYY208" s="199"/>
      <c r="MYZ208" s="199"/>
      <c r="MZA208" s="199"/>
      <c r="MZB208" s="199"/>
      <c r="MZC208" s="199"/>
      <c r="MZD208" s="199"/>
      <c r="MZE208" s="199"/>
      <c r="MZF208" s="199"/>
      <c r="MZG208" s="199"/>
      <c r="MZH208" s="199"/>
      <c r="MZI208" s="199"/>
      <c r="MZJ208" s="199"/>
      <c r="MZK208" s="199"/>
      <c r="MZL208" s="199"/>
      <c r="MZM208" s="199"/>
      <c r="MZN208" s="199"/>
      <c r="MZO208" s="199"/>
      <c r="MZP208" s="199"/>
      <c r="MZQ208" s="199"/>
      <c r="MZR208" s="199"/>
      <c r="MZS208" s="199"/>
      <c r="MZT208" s="199"/>
      <c r="MZU208" s="199"/>
      <c r="MZV208" s="199"/>
      <c r="MZW208" s="199"/>
      <c r="MZX208" s="199"/>
      <c r="MZY208" s="199"/>
      <c r="MZZ208" s="199"/>
      <c r="NAA208" s="199"/>
      <c r="NAB208" s="199"/>
      <c r="NAC208" s="199"/>
      <c r="NAD208" s="199"/>
      <c r="NAE208" s="199"/>
      <c r="NAF208" s="199"/>
      <c r="NAG208" s="199"/>
      <c r="NAH208" s="199"/>
      <c r="NAI208" s="199"/>
      <c r="NAJ208" s="199"/>
      <c r="NAK208" s="199"/>
      <c r="NAL208" s="199"/>
      <c r="NAM208" s="199"/>
      <c r="NAN208" s="199"/>
      <c r="NAO208" s="199"/>
      <c r="NAP208" s="199"/>
      <c r="NAQ208" s="199"/>
      <c r="NAR208" s="199"/>
      <c r="NAS208" s="199"/>
      <c r="NAT208" s="199"/>
      <c r="NAU208" s="199"/>
      <c r="NAV208" s="199"/>
      <c r="NAW208" s="199"/>
      <c r="NAX208" s="199"/>
      <c r="NAY208" s="199"/>
      <c r="NAZ208" s="199"/>
      <c r="NBA208" s="199"/>
      <c r="NBB208" s="199"/>
      <c r="NBC208" s="199"/>
      <c r="NBD208" s="199"/>
      <c r="NBE208" s="199"/>
      <c r="NBF208" s="199"/>
      <c r="NBG208" s="199"/>
      <c r="NBH208" s="199"/>
      <c r="NBI208" s="199"/>
      <c r="NBJ208" s="199"/>
      <c r="NBK208" s="199"/>
      <c r="NBL208" s="199"/>
      <c r="NBM208" s="199"/>
      <c r="NBN208" s="199"/>
      <c r="NBO208" s="199"/>
      <c r="NBP208" s="199"/>
      <c r="NBQ208" s="199"/>
      <c r="NBR208" s="199"/>
      <c r="NBS208" s="199"/>
      <c r="NBT208" s="199"/>
      <c r="NBU208" s="199"/>
      <c r="NBV208" s="199"/>
      <c r="NBW208" s="199"/>
      <c r="NBX208" s="199"/>
      <c r="NBY208" s="199"/>
      <c r="NBZ208" s="199"/>
      <c r="NCA208" s="199"/>
      <c r="NCB208" s="199"/>
      <c r="NCC208" s="199"/>
      <c r="NCD208" s="199"/>
      <c r="NCE208" s="199"/>
      <c r="NCF208" s="199"/>
      <c r="NCG208" s="199"/>
      <c r="NCH208" s="199"/>
      <c r="NCI208" s="199"/>
      <c r="NCJ208" s="199"/>
      <c r="NCK208" s="199"/>
      <c r="NCL208" s="199"/>
      <c r="NCM208" s="199"/>
      <c r="NCN208" s="199"/>
      <c r="NCO208" s="199"/>
      <c r="NCP208" s="199"/>
      <c r="NCQ208" s="199"/>
      <c r="NCR208" s="199"/>
      <c r="NCS208" s="199"/>
      <c r="NCT208" s="199"/>
      <c r="NCU208" s="199"/>
      <c r="NCV208" s="199"/>
      <c r="NCW208" s="199"/>
      <c r="NCX208" s="199"/>
      <c r="NCY208" s="199"/>
      <c r="NCZ208" s="199"/>
      <c r="NDA208" s="199"/>
      <c r="NDB208" s="199"/>
      <c r="NDC208" s="199"/>
      <c r="NDD208" s="199"/>
      <c r="NDE208" s="199"/>
      <c r="NDF208" s="199"/>
      <c r="NDG208" s="199"/>
      <c r="NDH208" s="199"/>
      <c r="NDI208" s="199"/>
      <c r="NDJ208" s="199"/>
      <c r="NDK208" s="199"/>
      <c r="NDL208" s="199"/>
      <c r="NDM208" s="199"/>
      <c r="NDN208" s="199"/>
      <c r="NDO208" s="199"/>
      <c r="NDP208" s="199"/>
      <c r="NDQ208" s="199"/>
      <c r="NDR208" s="199"/>
      <c r="NDS208" s="199"/>
      <c r="NDT208" s="199"/>
      <c r="NDU208" s="199"/>
      <c r="NDV208" s="199"/>
      <c r="NDW208" s="199"/>
      <c r="NDX208" s="199"/>
      <c r="NDY208" s="199"/>
      <c r="NDZ208" s="199"/>
      <c r="NEA208" s="199"/>
      <c r="NEB208" s="199"/>
      <c r="NEC208" s="199"/>
      <c r="NED208" s="199"/>
      <c r="NEE208" s="199"/>
      <c r="NEF208" s="199"/>
      <c r="NEG208" s="199"/>
      <c r="NEH208" s="199"/>
      <c r="NEI208" s="199"/>
      <c r="NEJ208" s="199"/>
      <c r="NEK208" s="199"/>
      <c r="NEL208" s="199"/>
      <c r="NEM208" s="199"/>
      <c r="NEN208" s="199"/>
      <c r="NEO208" s="199"/>
      <c r="NEP208" s="199"/>
      <c r="NEQ208" s="199"/>
      <c r="NER208" s="199"/>
      <c r="NES208" s="199"/>
      <c r="NET208" s="199"/>
      <c r="NEU208" s="199"/>
      <c r="NEV208" s="199"/>
      <c r="NEW208" s="199"/>
      <c r="NEX208" s="199"/>
      <c r="NEY208" s="199"/>
      <c r="NEZ208" s="199"/>
      <c r="NFA208" s="199"/>
      <c r="NFB208" s="199"/>
      <c r="NFC208" s="199"/>
      <c r="NFD208" s="199"/>
      <c r="NFE208" s="199"/>
      <c r="NFF208" s="199"/>
      <c r="NFG208" s="199"/>
      <c r="NFH208" s="199"/>
      <c r="NFI208" s="199"/>
      <c r="NFJ208" s="199"/>
      <c r="NFK208" s="199"/>
      <c r="NFL208" s="199"/>
      <c r="NFM208" s="199"/>
      <c r="NFN208" s="199"/>
      <c r="NFO208" s="199"/>
      <c r="NFP208" s="199"/>
      <c r="NFQ208" s="199"/>
      <c r="NFR208" s="199"/>
      <c r="NFS208" s="199"/>
      <c r="NFT208" s="199"/>
      <c r="NFU208" s="199"/>
      <c r="NFV208" s="199"/>
      <c r="NFW208" s="199"/>
      <c r="NFX208" s="199"/>
      <c r="NFY208" s="199"/>
      <c r="NFZ208" s="199"/>
      <c r="NGA208" s="199"/>
      <c r="NGB208" s="199"/>
      <c r="NGC208" s="199"/>
      <c r="NGD208" s="199"/>
      <c r="NGE208" s="199"/>
      <c r="NGF208" s="199"/>
      <c r="NGG208" s="199"/>
      <c r="NGH208" s="199"/>
      <c r="NGI208" s="199"/>
      <c r="NGJ208" s="199"/>
      <c r="NGK208" s="199"/>
      <c r="NGL208" s="199"/>
      <c r="NGM208" s="199"/>
      <c r="NGN208" s="199"/>
      <c r="NGO208" s="199"/>
      <c r="NGP208" s="199"/>
      <c r="NGQ208" s="199"/>
      <c r="NGR208" s="199"/>
      <c r="NGS208" s="199"/>
      <c r="NGT208" s="199"/>
      <c r="NGU208" s="199"/>
      <c r="NGV208" s="199"/>
      <c r="NGW208" s="199"/>
      <c r="NGX208" s="199"/>
      <c r="NGY208" s="199"/>
      <c r="NGZ208" s="199"/>
      <c r="NHA208" s="199"/>
      <c r="NHB208" s="199"/>
      <c r="NHC208" s="199"/>
      <c r="NHD208" s="199"/>
      <c r="NHE208" s="199"/>
      <c r="NHF208" s="199"/>
      <c r="NHG208" s="199"/>
      <c r="NHH208" s="199"/>
      <c r="NHI208" s="199"/>
      <c r="NHJ208" s="199"/>
      <c r="NHK208" s="199"/>
      <c r="NHL208" s="199"/>
      <c r="NHM208" s="199"/>
      <c r="NHN208" s="199"/>
      <c r="NHO208" s="199"/>
      <c r="NHP208" s="199"/>
      <c r="NHQ208" s="199"/>
      <c r="NHR208" s="199"/>
      <c r="NHS208" s="199"/>
      <c r="NHT208" s="199"/>
      <c r="NHU208" s="199"/>
      <c r="NHV208" s="199"/>
      <c r="NHW208" s="199"/>
      <c r="NHX208" s="199"/>
      <c r="NHY208" s="199"/>
      <c r="NHZ208" s="199"/>
      <c r="NIA208" s="199"/>
      <c r="NIB208" s="199"/>
      <c r="NIC208" s="199"/>
      <c r="NID208" s="199"/>
      <c r="NIE208" s="199"/>
      <c r="NIF208" s="199"/>
      <c r="NIG208" s="199"/>
      <c r="NIH208" s="199"/>
      <c r="NII208" s="199"/>
      <c r="NIJ208" s="199"/>
      <c r="NIK208" s="199"/>
      <c r="NIL208" s="199"/>
      <c r="NIM208" s="199"/>
      <c r="NIN208" s="199"/>
      <c r="NIO208" s="199"/>
      <c r="NIP208" s="199"/>
      <c r="NIQ208" s="199"/>
      <c r="NIR208" s="199"/>
      <c r="NIS208" s="199"/>
      <c r="NIT208" s="199"/>
      <c r="NIU208" s="199"/>
      <c r="NIV208" s="199"/>
      <c r="NIW208" s="199"/>
      <c r="NIX208" s="199"/>
      <c r="NIY208" s="199"/>
      <c r="NIZ208" s="199"/>
      <c r="NJA208" s="199"/>
      <c r="NJB208" s="199"/>
      <c r="NJC208" s="199"/>
      <c r="NJD208" s="199"/>
      <c r="NJE208" s="199"/>
      <c r="NJF208" s="199"/>
      <c r="NJG208" s="199"/>
      <c r="NJH208" s="199"/>
      <c r="NJI208" s="199"/>
      <c r="NJJ208" s="199"/>
      <c r="NJK208" s="199"/>
      <c r="NJL208" s="199"/>
      <c r="NJM208" s="199"/>
      <c r="NJN208" s="199"/>
      <c r="NJO208" s="199"/>
      <c r="NJP208" s="199"/>
      <c r="NJQ208" s="199"/>
      <c r="NJR208" s="199"/>
      <c r="NJS208" s="199"/>
      <c r="NJT208" s="199"/>
      <c r="NJU208" s="199"/>
      <c r="NJV208" s="199"/>
      <c r="NJW208" s="199"/>
      <c r="NJX208" s="199"/>
      <c r="NJY208" s="199"/>
      <c r="NJZ208" s="199"/>
      <c r="NKA208" s="199"/>
      <c r="NKB208" s="199"/>
      <c r="NKC208" s="199"/>
      <c r="NKD208" s="199"/>
      <c r="NKE208" s="199"/>
      <c r="NKF208" s="199"/>
      <c r="NKG208" s="199"/>
      <c r="NKH208" s="199"/>
      <c r="NKI208" s="199"/>
      <c r="NKJ208" s="199"/>
      <c r="NKK208" s="199"/>
      <c r="NKL208" s="199"/>
      <c r="NKM208" s="199"/>
      <c r="NKN208" s="199"/>
      <c r="NKO208" s="199"/>
      <c r="NKP208" s="199"/>
      <c r="NKQ208" s="199"/>
      <c r="NKR208" s="199"/>
      <c r="NKS208" s="199"/>
      <c r="NKT208" s="199"/>
      <c r="NKU208" s="199"/>
      <c r="NKV208" s="199"/>
      <c r="NKW208" s="199"/>
      <c r="NKX208" s="199"/>
      <c r="NKY208" s="199"/>
      <c r="NKZ208" s="199"/>
      <c r="NLA208" s="199"/>
      <c r="NLB208" s="199"/>
      <c r="NLC208" s="199"/>
      <c r="NLD208" s="199"/>
      <c r="NLE208" s="199"/>
      <c r="NLF208" s="199"/>
      <c r="NLG208" s="199"/>
      <c r="NLH208" s="199"/>
      <c r="NLI208" s="199"/>
      <c r="NLJ208" s="199"/>
      <c r="NLK208" s="199"/>
      <c r="NLL208" s="199"/>
      <c r="NLM208" s="199"/>
      <c r="NLN208" s="199"/>
      <c r="NLO208" s="199"/>
      <c r="NLP208" s="199"/>
      <c r="NLQ208" s="199"/>
      <c r="NLR208" s="199"/>
      <c r="NLS208" s="199"/>
      <c r="NLT208" s="199"/>
      <c r="NLU208" s="199"/>
      <c r="NLV208" s="199"/>
      <c r="NLW208" s="199"/>
      <c r="NLX208" s="199"/>
      <c r="NLY208" s="199"/>
      <c r="NLZ208" s="199"/>
      <c r="NMA208" s="199"/>
      <c r="NMB208" s="199"/>
      <c r="NMC208" s="199"/>
      <c r="NMD208" s="199"/>
      <c r="NME208" s="199"/>
      <c r="NMF208" s="199"/>
      <c r="NMG208" s="199"/>
      <c r="NMH208" s="199"/>
      <c r="NMI208" s="199"/>
      <c r="NMJ208" s="199"/>
      <c r="NMK208" s="199"/>
      <c r="NML208" s="199"/>
      <c r="NMM208" s="199"/>
      <c r="NMN208" s="199"/>
      <c r="NMO208" s="199"/>
      <c r="NMP208" s="199"/>
      <c r="NMQ208" s="199"/>
      <c r="NMR208" s="199"/>
      <c r="NMS208" s="199"/>
      <c r="NMT208" s="199"/>
      <c r="NMU208" s="199"/>
      <c r="NMV208" s="199"/>
      <c r="NMW208" s="199"/>
      <c r="NMX208" s="199"/>
      <c r="NMY208" s="199"/>
      <c r="NMZ208" s="199"/>
      <c r="NNA208" s="199"/>
      <c r="NNB208" s="199"/>
      <c r="NNC208" s="199"/>
      <c r="NND208" s="199"/>
      <c r="NNE208" s="199"/>
      <c r="NNF208" s="199"/>
      <c r="NNG208" s="199"/>
      <c r="NNH208" s="199"/>
      <c r="NNI208" s="199"/>
      <c r="NNJ208" s="199"/>
      <c r="NNK208" s="199"/>
      <c r="NNL208" s="199"/>
      <c r="NNM208" s="199"/>
      <c r="NNN208" s="199"/>
      <c r="NNO208" s="199"/>
      <c r="NNP208" s="199"/>
      <c r="NNQ208" s="199"/>
      <c r="NNR208" s="199"/>
      <c r="NNS208" s="199"/>
      <c r="NNT208" s="199"/>
      <c r="NNU208" s="199"/>
      <c r="NNV208" s="199"/>
      <c r="NNW208" s="199"/>
      <c r="NNX208" s="199"/>
      <c r="NNY208" s="199"/>
      <c r="NNZ208" s="199"/>
      <c r="NOA208" s="199"/>
      <c r="NOB208" s="199"/>
      <c r="NOC208" s="199"/>
      <c r="NOD208" s="199"/>
      <c r="NOE208" s="199"/>
      <c r="NOF208" s="199"/>
      <c r="NOG208" s="199"/>
      <c r="NOH208" s="199"/>
      <c r="NOI208" s="199"/>
      <c r="NOJ208" s="199"/>
      <c r="NOK208" s="199"/>
      <c r="NOL208" s="199"/>
      <c r="NOM208" s="199"/>
      <c r="NON208" s="199"/>
      <c r="NOO208" s="199"/>
      <c r="NOP208" s="199"/>
      <c r="NOQ208" s="199"/>
      <c r="NOR208" s="199"/>
      <c r="NOS208" s="199"/>
      <c r="NOT208" s="199"/>
      <c r="NOU208" s="199"/>
      <c r="NOV208" s="199"/>
      <c r="NOW208" s="199"/>
      <c r="NOX208" s="199"/>
      <c r="NOY208" s="199"/>
      <c r="NOZ208" s="199"/>
      <c r="NPA208" s="199"/>
      <c r="NPB208" s="199"/>
      <c r="NPC208" s="199"/>
      <c r="NPD208" s="199"/>
      <c r="NPE208" s="199"/>
      <c r="NPF208" s="199"/>
      <c r="NPG208" s="199"/>
      <c r="NPH208" s="199"/>
      <c r="NPI208" s="199"/>
      <c r="NPJ208" s="199"/>
      <c r="NPK208" s="199"/>
      <c r="NPL208" s="199"/>
      <c r="NPM208" s="199"/>
      <c r="NPN208" s="199"/>
      <c r="NPO208" s="199"/>
      <c r="NPP208" s="199"/>
      <c r="NPQ208" s="199"/>
      <c r="NPR208" s="199"/>
      <c r="NPS208" s="199"/>
      <c r="NPT208" s="199"/>
      <c r="NPU208" s="199"/>
      <c r="NPV208" s="199"/>
      <c r="NPW208" s="199"/>
      <c r="NPX208" s="199"/>
      <c r="NPY208" s="199"/>
      <c r="NPZ208" s="199"/>
      <c r="NQA208" s="199"/>
      <c r="NQB208" s="199"/>
      <c r="NQC208" s="199"/>
      <c r="NQD208" s="199"/>
      <c r="NQE208" s="199"/>
      <c r="NQF208" s="199"/>
      <c r="NQG208" s="199"/>
      <c r="NQH208" s="199"/>
      <c r="NQI208" s="199"/>
      <c r="NQJ208" s="199"/>
      <c r="NQK208" s="199"/>
      <c r="NQL208" s="199"/>
      <c r="NQM208" s="199"/>
      <c r="NQN208" s="199"/>
      <c r="NQO208" s="199"/>
      <c r="NQP208" s="199"/>
      <c r="NQQ208" s="199"/>
      <c r="NQR208" s="199"/>
      <c r="NQS208" s="199"/>
      <c r="NQT208" s="199"/>
      <c r="NQU208" s="199"/>
      <c r="NQV208" s="199"/>
      <c r="NQW208" s="199"/>
      <c r="NQX208" s="199"/>
      <c r="NQY208" s="199"/>
      <c r="NQZ208" s="199"/>
      <c r="NRA208" s="199"/>
      <c r="NRB208" s="199"/>
      <c r="NRC208" s="199"/>
      <c r="NRD208" s="199"/>
      <c r="NRE208" s="199"/>
      <c r="NRF208" s="199"/>
      <c r="NRG208" s="199"/>
      <c r="NRH208" s="199"/>
      <c r="NRI208" s="199"/>
      <c r="NRJ208" s="199"/>
      <c r="NRK208" s="199"/>
      <c r="NRL208" s="199"/>
      <c r="NRM208" s="199"/>
      <c r="NRN208" s="199"/>
      <c r="NRO208" s="199"/>
      <c r="NRP208" s="199"/>
      <c r="NRQ208" s="199"/>
      <c r="NRR208" s="199"/>
      <c r="NRS208" s="199"/>
      <c r="NRT208" s="199"/>
      <c r="NRU208" s="199"/>
      <c r="NRV208" s="199"/>
      <c r="NRW208" s="199"/>
      <c r="NRX208" s="199"/>
      <c r="NRY208" s="199"/>
      <c r="NRZ208" s="199"/>
      <c r="NSA208" s="199"/>
      <c r="NSB208" s="199"/>
      <c r="NSC208" s="199"/>
      <c r="NSD208" s="199"/>
      <c r="NSE208" s="199"/>
      <c r="NSF208" s="199"/>
      <c r="NSG208" s="199"/>
      <c r="NSH208" s="199"/>
      <c r="NSI208" s="199"/>
      <c r="NSJ208" s="199"/>
      <c r="NSK208" s="199"/>
      <c r="NSL208" s="199"/>
      <c r="NSM208" s="199"/>
      <c r="NSN208" s="199"/>
      <c r="NSO208" s="199"/>
      <c r="NSP208" s="199"/>
      <c r="NSQ208" s="199"/>
      <c r="NSR208" s="199"/>
      <c r="NSS208" s="199"/>
      <c r="NST208" s="199"/>
      <c r="NSU208" s="199"/>
      <c r="NSV208" s="199"/>
      <c r="NSW208" s="199"/>
      <c r="NSX208" s="199"/>
      <c r="NSY208" s="199"/>
      <c r="NSZ208" s="199"/>
      <c r="NTA208" s="199"/>
      <c r="NTB208" s="199"/>
      <c r="NTC208" s="199"/>
      <c r="NTD208" s="199"/>
      <c r="NTE208" s="199"/>
      <c r="NTF208" s="199"/>
      <c r="NTG208" s="199"/>
      <c r="NTH208" s="199"/>
      <c r="NTI208" s="199"/>
      <c r="NTJ208" s="199"/>
      <c r="NTK208" s="199"/>
      <c r="NTL208" s="199"/>
      <c r="NTM208" s="199"/>
      <c r="NTN208" s="199"/>
      <c r="NTO208" s="199"/>
      <c r="NTP208" s="199"/>
      <c r="NTQ208" s="199"/>
      <c r="NTR208" s="199"/>
      <c r="NTS208" s="199"/>
      <c r="NTT208" s="199"/>
      <c r="NTU208" s="199"/>
      <c r="NTV208" s="199"/>
      <c r="NTW208" s="199"/>
      <c r="NTX208" s="199"/>
      <c r="NTY208" s="199"/>
      <c r="NTZ208" s="199"/>
      <c r="NUA208" s="199"/>
      <c r="NUB208" s="199"/>
      <c r="NUC208" s="199"/>
      <c r="NUD208" s="199"/>
      <c r="NUE208" s="199"/>
      <c r="NUF208" s="199"/>
      <c r="NUG208" s="199"/>
      <c r="NUH208" s="199"/>
      <c r="NUI208" s="199"/>
      <c r="NUJ208" s="199"/>
      <c r="NUK208" s="199"/>
      <c r="NUL208" s="199"/>
      <c r="NUM208" s="199"/>
      <c r="NUN208" s="199"/>
      <c r="NUO208" s="199"/>
      <c r="NUP208" s="199"/>
      <c r="NUQ208" s="199"/>
      <c r="NUR208" s="199"/>
      <c r="NUS208" s="199"/>
      <c r="NUT208" s="199"/>
      <c r="NUU208" s="199"/>
      <c r="NUV208" s="199"/>
      <c r="NUW208" s="199"/>
      <c r="NUX208" s="199"/>
      <c r="NUY208" s="199"/>
      <c r="NUZ208" s="199"/>
      <c r="NVA208" s="199"/>
      <c r="NVB208" s="199"/>
      <c r="NVC208" s="199"/>
      <c r="NVD208" s="199"/>
      <c r="NVE208" s="199"/>
      <c r="NVF208" s="199"/>
      <c r="NVG208" s="199"/>
      <c r="NVH208" s="199"/>
      <c r="NVI208" s="199"/>
      <c r="NVJ208" s="199"/>
      <c r="NVK208" s="199"/>
      <c r="NVL208" s="199"/>
      <c r="NVM208" s="199"/>
      <c r="NVN208" s="199"/>
      <c r="NVO208" s="199"/>
      <c r="NVP208" s="199"/>
      <c r="NVQ208" s="199"/>
      <c r="NVR208" s="199"/>
      <c r="NVS208" s="199"/>
      <c r="NVT208" s="199"/>
      <c r="NVU208" s="199"/>
      <c r="NVV208" s="199"/>
      <c r="NVW208" s="199"/>
      <c r="NVX208" s="199"/>
      <c r="NVY208" s="199"/>
      <c r="NVZ208" s="199"/>
      <c r="NWA208" s="199"/>
      <c r="NWB208" s="199"/>
      <c r="NWC208" s="199"/>
      <c r="NWD208" s="199"/>
      <c r="NWE208" s="199"/>
      <c r="NWF208" s="199"/>
      <c r="NWG208" s="199"/>
      <c r="NWH208" s="199"/>
      <c r="NWI208" s="199"/>
      <c r="NWJ208" s="199"/>
      <c r="NWK208" s="199"/>
      <c r="NWL208" s="199"/>
      <c r="NWM208" s="199"/>
      <c r="NWN208" s="199"/>
      <c r="NWO208" s="199"/>
      <c r="NWP208" s="199"/>
      <c r="NWQ208" s="199"/>
      <c r="NWR208" s="199"/>
      <c r="NWS208" s="199"/>
      <c r="NWT208" s="199"/>
      <c r="NWU208" s="199"/>
      <c r="NWV208" s="199"/>
      <c r="NWW208" s="199"/>
      <c r="NWX208" s="199"/>
      <c r="NWY208" s="199"/>
      <c r="NWZ208" s="199"/>
      <c r="NXA208" s="199"/>
      <c r="NXB208" s="199"/>
      <c r="NXC208" s="199"/>
      <c r="NXD208" s="199"/>
      <c r="NXE208" s="199"/>
      <c r="NXF208" s="199"/>
      <c r="NXG208" s="199"/>
      <c r="NXH208" s="199"/>
      <c r="NXI208" s="199"/>
      <c r="NXJ208" s="199"/>
      <c r="NXK208" s="199"/>
      <c r="NXL208" s="199"/>
      <c r="NXM208" s="199"/>
      <c r="NXN208" s="199"/>
      <c r="NXO208" s="199"/>
      <c r="NXP208" s="199"/>
      <c r="NXQ208" s="199"/>
      <c r="NXR208" s="199"/>
      <c r="NXS208" s="199"/>
      <c r="NXT208" s="199"/>
      <c r="NXU208" s="199"/>
      <c r="NXV208" s="199"/>
      <c r="NXW208" s="199"/>
      <c r="NXX208" s="199"/>
      <c r="NXY208" s="199"/>
      <c r="NXZ208" s="199"/>
      <c r="NYA208" s="199"/>
      <c r="NYB208" s="199"/>
      <c r="NYC208" s="199"/>
      <c r="NYD208" s="199"/>
      <c r="NYE208" s="199"/>
      <c r="NYF208" s="199"/>
      <c r="NYG208" s="199"/>
      <c r="NYH208" s="199"/>
      <c r="NYI208" s="199"/>
      <c r="NYJ208" s="199"/>
      <c r="NYK208" s="199"/>
      <c r="NYL208" s="199"/>
      <c r="NYM208" s="199"/>
      <c r="NYN208" s="199"/>
      <c r="NYO208" s="199"/>
      <c r="NYP208" s="199"/>
      <c r="NYQ208" s="199"/>
      <c r="NYR208" s="199"/>
      <c r="NYS208" s="199"/>
      <c r="NYT208" s="199"/>
      <c r="NYU208" s="199"/>
      <c r="NYV208" s="199"/>
      <c r="NYW208" s="199"/>
      <c r="NYX208" s="199"/>
      <c r="NYY208" s="199"/>
      <c r="NYZ208" s="199"/>
      <c r="NZA208" s="199"/>
      <c r="NZB208" s="199"/>
      <c r="NZC208" s="199"/>
      <c r="NZD208" s="199"/>
      <c r="NZE208" s="199"/>
      <c r="NZF208" s="199"/>
      <c r="NZG208" s="199"/>
      <c r="NZH208" s="199"/>
      <c r="NZI208" s="199"/>
      <c r="NZJ208" s="199"/>
      <c r="NZK208" s="199"/>
      <c r="NZL208" s="199"/>
      <c r="NZM208" s="199"/>
      <c r="NZN208" s="199"/>
      <c r="NZO208" s="199"/>
      <c r="NZP208" s="199"/>
      <c r="NZQ208" s="199"/>
      <c r="NZR208" s="199"/>
      <c r="NZS208" s="199"/>
      <c r="NZT208" s="199"/>
      <c r="NZU208" s="199"/>
      <c r="NZV208" s="199"/>
      <c r="NZW208" s="199"/>
      <c r="NZX208" s="199"/>
      <c r="NZY208" s="199"/>
      <c r="NZZ208" s="199"/>
      <c r="OAA208" s="199"/>
      <c r="OAB208" s="199"/>
      <c r="OAC208" s="199"/>
      <c r="OAD208" s="199"/>
      <c r="OAE208" s="199"/>
      <c r="OAF208" s="199"/>
      <c r="OAG208" s="199"/>
      <c r="OAH208" s="199"/>
      <c r="OAI208" s="199"/>
      <c r="OAJ208" s="199"/>
      <c r="OAK208" s="199"/>
      <c r="OAL208" s="199"/>
      <c r="OAM208" s="199"/>
      <c r="OAN208" s="199"/>
      <c r="OAO208" s="199"/>
      <c r="OAP208" s="199"/>
      <c r="OAQ208" s="199"/>
      <c r="OAR208" s="199"/>
      <c r="OAS208" s="199"/>
      <c r="OAT208" s="199"/>
      <c r="OAU208" s="199"/>
      <c r="OAV208" s="199"/>
      <c r="OAW208" s="199"/>
      <c r="OAX208" s="199"/>
      <c r="OAY208" s="199"/>
      <c r="OAZ208" s="199"/>
      <c r="OBA208" s="199"/>
      <c r="OBB208" s="199"/>
      <c r="OBC208" s="199"/>
      <c r="OBD208" s="199"/>
      <c r="OBE208" s="199"/>
      <c r="OBF208" s="199"/>
      <c r="OBG208" s="199"/>
      <c r="OBH208" s="199"/>
      <c r="OBI208" s="199"/>
      <c r="OBJ208" s="199"/>
      <c r="OBK208" s="199"/>
      <c r="OBL208" s="199"/>
      <c r="OBM208" s="199"/>
      <c r="OBN208" s="199"/>
      <c r="OBO208" s="199"/>
      <c r="OBP208" s="199"/>
      <c r="OBQ208" s="199"/>
      <c r="OBR208" s="199"/>
      <c r="OBS208" s="199"/>
      <c r="OBT208" s="199"/>
      <c r="OBU208" s="199"/>
      <c r="OBV208" s="199"/>
      <c r="OBW208" s="199"/>
      <c r="OBX208" s="199"/>
      <c r="OBY208" s="199"/>
      <c r="OBZ208" s="199"/>
      <c r="OCA208" s="199"/>
      <c r="OCB208" s="199"/>
      <c r="OCC208" s="199"/>
      <c r="OCD208" s="199"/>
      <c r="OCE208" s="199"/>
      <c r="OCF208" s="199"/>
      <c r="OCG208" s="199"/>
      <c r="OCH208" s="199"/>
      <c r="OCI208" s="199"/>
      <c r="OCJ208" s="199"/>
      <c r="OCK208" s="199"/>
      <c r="OCL208" s="199"/>
      <c r="OCM208" s="199"/>
      <c r="OCN208" s="199"/>
      <c r="OCO208" s="199"/>
      <c r="OCP208" s="199"/>
      <c r="OCQ208" s="199"/>
      <c r="OCR208" s="199"/>
      <c r="OCS208" s="199"/>
      <c r="OCT208" s="199"/>
      <c r="OCU208" s="199"/>
      <c r="OCV208" s="199"/>
      <c r="OCW208" s="199"/>
      <c r="OCX208" s="199"/>
      <c r="OCY208" s="199"/>
      <c r="OCZ208" s="199"/>
      <c r="ODA208" s="199"/>
      <c r="ODB208" s="199"/>
      <c r="ODC208" s="199"/>
      <c r="ODD208" s="199"/>
      <c r="ODE208" s="199"/>
      <c r="ODF208" s="199"/>
      <c r="ODG208" s="199"/>
      <c r="ODH208" s="199"/>
      <c r="ODI208" s="199"/>
      <c r="ODJ208" s="199"/>
      <c r="ODK208" s="199"/>
      <c r="ODL208" s="199"/>
      <c r="ODM208" s="199"/>
      <c r="ODN208" s="199"/>
      <c r="ODO208" s="199"/>
      <c r="ODP208" s="199"/>
      <c r="ODQ208" s="199"/>
      <c r="ODR208" s="199"/>
      <c r="ODS208" s="199"/>
      <c r="ODT208" s="199"/>
      <c r="ODU208" s="199"/>
      <c r="ODV208" s="199"/>
      <c r="ODW208" s="199"/>
      <c r="ODX208" s="199"/>
      <c r="ODY208" s="199"/>
      <c r="ODZ208" s="199"/>
      <c r="OEA208" s="199"/>
      <c r="OEB208" s="199"/>
      <c r="OEC208" s="199"/>
      <c r="OED208" s="199"/>
      <c r="OEE208" s="199"/>
      <c r="OEF208" s="199"/>
      <c r="OEG208" s="199"/>
      <c r="OEH208" s="199"/>
      <c r="OEI208" s="199"/>
      <c r="OEJ208" s="199"/>
      <c r="OEK208" s="199"/>
      <c r="OEL208" s="199"/>
      <c r="OEM208" s="199"/>
      <c r="OEN208" s="199"/>
      <c r="OEO208" s="199"/>
      <c r="OEP208" s="199"/>
      <c r="OEQ208" s="199"/>
      <c r="OER208" s="199"/>
      <c r="OES208" s="199"/>
      <c r="OET208" s="199"/>
      <c r="OEU208" s="199"/>
      <c r="OEV208" s="199"/>
      <c r="OEW208" s="199"/>
      <c r="OEX208" s="199"/>
      <c r="OEY208" s="199"/>
      <c r="OEZ208" s="199"/>
      <c r="OFA208" s="199"/>
      <c r="OFB208" s="199"/>
      <c r="OFC208" s="199"/>
      <c r="OFD208" s="199"/>
      <c r="OFE208" s="199"/>
      <c r="OFF208" s="199"/>
      <c r="OFG208" s="199"/>
      <c r="OFH208" s="199"/>
      <c r="OFI208" s="199"/>
      <c r="OFJ208" s="199"/>
      <c r="OFK208" s="199"/>
      <c r="OFL208" s="199"/>
      <c r="OFM208" s="199"/>
      <c r="OFN208" s="199"/>
      <c r="OFO208" s="199"/>
      <c r="OFP208" s="199"/>
      <c r="OFQ208" s="199"/>
      <c r="OFR208" s="199"/>
      <c r="OFS208" s="199"/>
      <c r="OFT208" s="199"/>
      <c r="OFU208" s="199"/>
      <c r="OFV208" s="199"/>
      <c r="OFW208" s="199"/>
      <c r="OFX208" s="199"/>
      <c r="OFY208" s="199"/>
      <c r="OFZ208" s="199"/>
      <c r="OGA208" s="199"/>
      <c r="OGB208" s="199"/>
      <c r="OGC208" s="199"/>
      <c r="OGD208" s="199"/>
      <c r="OGE208" s="199"/>
      <c r="OGF208" s="199"/>
      <c r="OGG208" s="199"/>
      <c r="OGH208" s="199"/>
      <c r="OGI208" s="199"/>
      <c r="OGJ208" s="199"/>
      <c r="OGK208" s="199"/>
      <c r="OGL208" s="199"/>
      <c r="OGM208" s="199"/>
      <c r="OGN208" s="199"/>
      <c r="OGO208" s="199"/>
      <c r="OGP208" s="199"/>
      <c r="OGQ208" s="199"/>
      <c r="OGR208" s="199"/>
      <c r="OGS208" s="199"/>
      <c r="OGT208" s="199"/>
      <c r="OGU208" s="199"/>
      <c r="OGV208" s="199"/>
      <c r="OGW208" s="199"/>
      <c r="OGX208" s="199"/>
      <c r="OGY208" s="199"/>
      <c r="OGZ208" s="199"/>
      <c r="OHA208" s="199"/>
      <c r="OHB208" s="199"/>
      <c r="OHC208" s="199"/>
      <c r="OHD208" s="199"/>
      <c r="OHE208" s="199"/>
      <c r="OHF208" s="199"/>
      <c r="OHG208" s="199"/>
      <c r="OHH208" s="199"/>
      <c r="OHI208" s="199"/>
      <c r="OHJ208" s="199"/>
      <c r="OHK208" s="199"/>
      <c r="OHL208" s="199"/>
      <c r="OHM208" s="199"/>
      <c r="OHN208" s="199"/>
      <c r="OHO208" s="199"/>
      <c r="OHP208" s="199"/>
      <c r="OHQ208" s="199"/>
      <c r="OHR208" s="199"/>
      <c r="OHS208" s="199"/>
      <c r="OHT208" s="199"/>
      <c r="OHU208" s="199"/>
      <c r="OHV208" s="199"/>
      <c r="OHW208" s="199"/>
      <c r="OHX208" s="199"/>
      <c r="OHY208" s="199"/>
      <c r="OHZ208" s="199"/>
      <c r="OIA208" s="199"/>
      <c r="OIB208" s="199"/>
      <c r="OIC208" s="199"/>
      <c r="OID208" s="199"/>
      <c r="OIE208" s="199"/>
      <c r="OIF208" s="199"/>
      <c r="OIG208" s="199"/>
      <c r="OIH208" s="199"/>
      <c r="OII208" s="199"/>
      <c r="OIJ208" s="199"/>
      <c r="OIK208" s="199"/>
      <c r="OIL208" s="199"/>
      <c r="OIM208" s="199"/>
      <c r="OIN208" s="199"/>
      <c r="OIO208" s="199"/>
      <c r="OIP208" s="199"/>
      <c r="OIQ208" s="199"/>
      <c r="OIR208" s="199"/>
      <c r="OIS208" s="199"/>
      <c r="OIT208" s="199"/>
      <c r="OIU208" s="199"/>
      <c r="OIV208" s="199"/>
      <c r="OIW208" s="199"/>
      <c r="OIX208" s="199"/>
      <c r="OIY208" s="199"/>
      <c r="OIZ208" s="199"/>
      <c r="OJA208" s="199"/>
      <c r="OJB208" s="199"/>
      <c r="OJC208" s="199"/>
      <c r="OJD208" s="199"/>
      <c r="OJE208" s="199"/>
      <c r="OJF208" s="199"/>
      <c r="OJG208" s="199"/>
      <c r="OJH208" s="199"/>
      <c r="OJI208" s="199"/>
      <c r="OJJ208" s="199"/>
      <c r="OJK208" s="199"/>
      <c r="OJL208" s="199"/>
      <c r="OJM208" s="199"/>
      <c r="OJN208" s="199"/>
      <c r="OJO208" s="199"/>
      <c r="OJP208" s="199"/>
      <c r="OJQ208" s="199"/>
      <c r="OJR208" s="199"/>
      <c r="OJS208" s="199"/>
      <c r="OJT208" s="199"/>
      <c r="OJU208" s="199"/>
      <c r="OJV208" s="199"/>
      <c r="OJW208" s="199"/>
      <c r="OJX208" s="199"/>
      <c r="OJY208" s="199"/>
      <c r="OJZ208" s="199"/>
      <c r="OKA208" s="199"/>
      <c r="OKB208" s="199"/>
      <c r="OKC208" s="199"/>
      <c r="OKD208" s="199"/>
      <c r="OKE208" s="199"/>
      <c r="OKF208" s="199"/>
      <c r="OKG208" s="199"/>
      <c r="OKH208" s="199"/>
      <c r="OKI208" s="199"/>
      <c r="OKJ208" s="199"/>
      <c r="OKK208" s="199"/>
      <c r="OKL208" s="199"/>
      <c r="OKM208" s="199"/>
      <c r="OKN208" s="199"/>
      <c r="OKO208" s="199"/>
      <c r="OKP208" s="199"/>
      <c r="OKQ208" s="199"/>
      <c r="OKR208" s="199"/>
      <c r="OKS208" s="199"/>
      <c r="OKT208" s="199"/>
      <c r="OKU208" s="199"/>
      <c r="OKV208" s="199"/>
      <c r="OKW208" s="199"/>
      <c r="OKX208" s="199"/>
      <c r="OKY208" s="199"/>
      <c r="OKZ208" s="199"/>
      <c r="OLA208" s="199"/>
      <c r="OLB208" s="199"/>
      <c r="OLC208" s="199"/>
      <c r="OLD208" s="199"/>
      <c r="OLE208" s="199"/>
      <c r="OLF208" s="199"/>
      <c r="OLG208" s="199"/>
      <c r="OLH208" s="199"/>
      <c r="OLI208" s="199"/>
      <c r="OLJ208" s="199"/>
      <c r="OLK208" s="199"/>
      <c r="OLL208" s="199"/>
      <c r="OLM208" s="199"/>
      <c r="OLN208" s="199"/>
      <c r="OLO208" s="199"/>
      <c r="OLP208" s="199"/>
      <c r="OLQ208" s="199"/>
      <c r="OLR208" s="199"/>
      <c r="OLS208" s="199"/>
      <c r="OLT208" s="199"/>
      <c r="OLU208" s="199"/>
      <c r="OLV208" s="199"/>
      <c r="OLW208" s="199"/>
      <c r="OLX208" s="199"/>
      <c r="OLY208" s="199"/>
      <c r="OLZ208" s="199"/>
      <c r="OMA208" s="199"/>
      <c r="OMB208" s="199"/>
      <c r="OMC208" s="199"/>
      <c r="OMD208" s="199"/>
      <c r="OME208" s="199"/>
      <c r="OMF208" s="199"/>
      <c r="OMG208" s="199"/>
      <c r="OMH208" s="199"/>
      <c r="OMI208" s="199"/>
      <c r="OMJ208" s="199"/>
      <c r="OMK208" s="199"/>
      <c r="OML208" s="199"/>
      <c r="OMM208" s="199"/>
      <c r="OMN208" s="199"/>
      <c r="OMO208" s="199"/>
      <c r="OMP208" s="199"/>
      <c r="OMQ208" s="199"/>
      <c r="OMR208" s="199"/>
      <c r="OMS208" s="199"/>
      <c r="OMT208" s="199"/>
      <c r="OMU208" s="199"/>
      <c r="OMV208" s="199"/>
      <c r="OMW208" s="199"/>
      <c r="OMX208" s="199"/>
      <c r="OMY208" s="199"/>
      <c r="OMZ208" s="199"/>
      <c r="ONA208" s="199"/>
      <c r="ONB208" s="199"/>
      <c r="ONC208" s="199"/>
      <c r="OND208" s="199"/>
      <c r="ONE208" s="199"/>
      <c r="ONF208" s="199"/>
      <c r="ONG208" s="199"/>
      <c r="ONH208" s="199"/>
      <c r="ONI208" s="199"/>
      <c r="ONJ208" s="199"/>
      <c r="ONK208" s="199"/>
      <c r="ONL208" s="199"/>
      <c r="ONM208" s="199"/>
      <c r="ONN208" s="199"/>
      <c r="ONO208" s="199"/>
      <c r="ONP208" s="199"/>
      <c r="ONQ208" s="199"/>
      <c r="ONR208" s="199"/>
      <c r="ONS208" s="199"/>
      <c r="ONT208" s="199"/>
      <c r="ONU208" s="199"/>
      <c r="ONV208" s="199"/>
      <c r="ONW208" s="199"/>
      <c r="ONX208" s="199"/>
      <c r="ONY208" s="199"/>
      <c r="ONZ208" s="199"/>
      <c r="OOA208" s="199"/>
      <c r="OOB208" s="199"/>
      <c r="OOC208" s="199"/>
      <c r="OOD208" s="199"/>
      <c r="OOE208" s="199"/>
      <c r="OOF208" s="199"/>
      <c r="OOG208" s="199"/>
      <c r="OOH208" s="199"/>
      <c r="OOI208" s="199"/>
      <c r="OOJ208" s="199"/>
      <c r="OOK208" s="199"/>
      <c r="OOL208" s="199"/>
      <c r="OOM208" s="199"/>
      <c r="OON208" s="199"/>
      <c r="OOO208" s="199"/>
      <c r="OOP208" s="199"/>
      <c r="OOQ208" s="199"/>
      <c r="OOR208" s="199"/>
      <c r="OOS208" s="199"/>
      <c r="OOT208" s="199"/>
      <c r="OOU208" s="199"/>
      <c r="OOV208" s="199"/>
      <c r="OOW208" s="199"/>
      <c r="OOX208" s="199"/>
      <c r="OOY208" s="199"/>
      <c r="OOZ208" s="199"/>
      <c r="OPA208" s="199"/>
      <c r="OPB208" s="199"/>
      <c r="OPC208" s="199"/>
      <c r="OPD208" s="199"/>
      <c r="OPE208" s="199"/>
      <c r="OPF208" s="199"/>
      <c r="OPG208" s="199"/>
      <c r="OPH208" s="199"/>
      <c r="OPI208" s="199"/>
      <c r="OPJ208" s="199"/>
      <c r="OPK208" s="199"/>
      <c r="OPL208" s="199"/>
      <c r="OPM208" s="199"/>
      <c r="OPN208" s="199"/>
      <c r="OPO208" s="199"/>
      <c r="OPP208" s="199"/>
      <c r="OPQ208" s="199"/>
      <c r="OPR208" s="199"/>
      <c r="OPS208" s="199"/>
      <c r="OPT208" s="199"/>
      <c r="OPU208" s="199"/>
      <c r="OPV208" s="199"/>
      <c r="OPW208" s="199"/>
      <c r="OPX208" s="199"/>
      <c r="OPY208" s="199"/>
      <c r="OPZ208" s="199"/>
      <c r="OQA208" s="199"/>
      <c r="OQB208" s="199"/>
      <c r="OQC208" s="199"/>
      <c r="OQD208" s="199"/>
      <c r="OQE208" s="199"/>
      <c r="OQF208" s="199"/>
      <c r="OQG208" s="199"/>
      <c r="OQH208" s="199"/>
      <c r="OQI208" s="199"/>
      <c r="OQJ208" s="199"/>
      <c r="OQK208" s="199"/>
      <c r="OQL208" s="199"/>
      <c r="OQM208" s="199"/>
      <c r="OQN208" s="199"/>
      <c r="OQO208" s="199"/>
      <c r="OQP208" s="199"/>
      <c r="OQQ208" s="199"/>
      <c r="OQR208" s="199"/>
      <c r="OQS208" s="199"/>
      <c r="OQT208" s="199"/>
      <c r="OQU208" s="199"/>
      <c r="OQV208" s="199"/>
      <c r="OQW208" s="199"/>
      <c r="OQX208" s="199"/>
      <c r="OQY208" s="199"/>
      <c r="OQZ208" s="199"/>
      <c r="ORA208" s="199"/>
      <c r="ORB208" s="199"/>
      <c r="ORC208" s="199"/>
      <c r="ORD208" s="199"/>
      <c r="ORE208" s="199"/>
      <c r="ORF208" s="199"/>
      <c r="ORG208" s="199"/>
      <c r="ORH208" s="199"/>
      <c r="ORI208" s="199"/>
      <c r="ORJ208" s="199"/>
      <c r="ORK208" s="199"/>
      <c r="ORL208" s="199"/>
      <c r="ORM208" s="199"/>
      <c r="ORN208" s="199"/>
      <c r="ORO208" s="199"/>
      <c r="ORP208" s="199"/>
      <c r="ORQ208" s="199"/>
      <c r="ORR208" s="199"/>
      <c r="ORS208" s="199"/>
      <c r="ORT208" s="199"/>
      <c r="ORU208" s="199"/>
      <c r="ORV208" s="199"/>
      <c r="ORW208" s="199"/>
      <c r="ORX208" s="199"/>
      <c r="ORY208" s="199"/>
      <c r="ORZ208" s="199"/>
      <c r="OSA208" s="199"/>
      <c r="OSB208" s="199"/>
      <c r="OSC208" s="199"/>
      <c r="OSD208" s="199"/>
      <c r="OSE208" s="199"/>
      <c r="OSF208" s="199"/>
      <c r="OSG208" s="199"/>
      <c r="OSH208" s="199"/>
      <c r="OSI208" s="199"/>
      <c r="OSJ208" s="199"/>
      <c r="OSK208" s="199"/>
      <c r="OSL208" s="199"/>
      <c r="OSM208" s="199"/>
      <c r="OSN208" s="199"/>
      <c r="OSO208" s="199"/>
      <c r="OSP208" s="199"/>
      <c r="OSQ208" s="199"/>
      <c r="OSR208" s="199"/>
      <c r="OSS208" s="199"/>
      <c r="OST208" s="199"/>
      <c r="OSU208" s="199"/>
      <c r="OSV208" s="199"/>
      <c r="OSW208" s="199"/>
      <c r="OSX208" s="199"/>
      <c r="OSY208" s="199"/>
      <c r="OSZ208" s="199"/>
      <c r="OTA208" s="199"/>
      <c r="OTB208" s="199"/>
      <c r="OTC208" s="199"/>
      <c r="OTD208" s="199"/>
      <c r="OTE208" s="199"/>
      <c r="OTF208" s="199"/>
      <c r="OTG208" s="199"/>
      <c r="OTH208" s="199"/>
      <c r="OTI208" s="199"/>
      <c r="OTJ208" s="199"/>
      <c r="OTK208" s="199"/>
      <c r="OTL208" s="199"/>
      <c r="OTM208" s="199"/>
      <c r="OTN208" s="199"/>
      <c r="OTO208" s="199"/>
      <c r="OTP208" s="199"/>
      <c r="OTQ208" s="199"/>
      <c r="OTR208" s="199"/>
      <c r="OTS208" s="199"/>
      <c r="OTT208" s="199"/>
      <c r="OTU208" s="199"/>
      <c r="OTV208" s="199"/>
      <c r="OTW208" s="199"/>
      <c r="OTX208" s="199"/>
      <c r="OTY208" s="199"/>
      <c r="OTZ208" s="199"/>
      <c r="OUA208" s="199"/>
      <c r="OUB208" s="199"/>
      <c r="OUC208" s="199"/>
      <c r="OUD208" s="199"/>
      <c r="OUE208" s="199"/>
      <c r="OUF208" s="199"/>
      <c r="OUG208" s="199"/>
      <c r="OUH208" s="199"/>
      <c r="OUI208" s="199"/>
      <c r="OUJ208" s="199"/>
      <c r="OUK208" s="199"/>
      <c r="OUL208" s="199"/>
      <c r="OUM208" s="199"/>
      <c r="OUN208" s="199"/>
      <c r="OUO208" s="199"/>
      <c r="OUP208" s="199"/>
      <c r="OUQ208" s="199"/>
      <c r="OUR208" s="199"/>
      <c r="OUS208" s="199"/>
      <c r="OUT208" s="199"/>
      <c r="OUU208" s="199"/>
      <c r="OUV208" s="199"/>
      <c r="OUW208" s="199"/>
      <c r="OUX208" s="199"/>
      <c r="OUY208" s="199"/>
      <c r="OUZ208" s="199"/>
      <c r="OVA208" s="199"/>
      <c r="OVB208" s="199"/>
      <c r="OVC208" s="199"/>
      <c r="OVD208" s="199"/>
      <c r="OVE208" s="199"/>
      <c r="OVF208" s="199"/>
      <c r="OVG208" s="199"/>
      <c r="OVH208" s="199"/>
      <c r="OVI208" s="199"/>
      <c r="OVJ208" s="199"/>
      <c r="OVK208" s="199"/>
      <c r="OVL208" s="199"/>
      <c r="OVM208" s="199"/>
      <c r="OVN208" s="199"/>
      <c r="OVO208" s="199"/>
      <c r="OVP208" s="199"/>
      <c r="OVQ208" s="199"/>
      <c r="OVR208" s="199"/>
      <c r="OVS208" s="199"/>
      <c r="OVT208" s="199"/>
      <c r="OVU208" s="199"/>
      <c r="OVV208" s="199"/>
      <c r="OVW208" s="199"/>
      <c r="OVX208" s="199"/>
      <c r="OVY208" s="199"/>
      <c r="OVZ208" s="199"/>
      <c r="OWA208" s="199"/>
      <c r="OWB208" s="199"/>
      <c r="OWC208" s="199"/>
      <c r="OWD208" s="199"/>
      <c r="OWE208" s="199"/>
      <c r="OWF208" s="199"/>
      <c r="OWG208" s="199"/>
      <c r="OWH208" s="199"/>
      <c r="OWI208" s="199"/>
      <c r="OWJ208" s="199"/>
      <c r="OWK208" s="199"/>
      <c r="OWL208" s="199"/>
      <c r="OWM208" s="199"/>
      <c r="OWN208" s="199"/>
      <c r="OWO208" s="199"/>
      <c r="OWP208" s="199"/>
      <c r="OWQ208" s="199"/>
      <c r="OWR208" s="199"/>
      <c r="OWS208" s="199"/>
      <c r="OWT208" s="199"/>
      <c r="OWU208" s="199"/>
      <c r="OWV208" s="199"/>
      <c r="OWW208" s="199"/>
      <c r="OWX208" s="199"/>
      <c r="OWY208" s="199"/>
      <c r="OWZ208" s="199"/>
      <c r="OXA208" s="199"/>
      <c r="OXB208" s="199"/>
      <c r="OXC208" s="199"/>
      <c r="OXD208" s="199"/>
      <c r="OXE208" s="199"/>
      <c r="OXF208" s="199"/>
      <c r="OXG208" s="199"/>
      <c r="OXH208" s="199"/>
      <c r="OXI208" s="199"/>
      <c r="OXJ208" s="199"/>
      <c r="OXK208" s="199"/>
      <c r="OXL208" s="199"/>
      <c r="OXM208" s="199"/>
      <c r="OXN208" s="199"/>
      <c r="OXO208" s="199"/>
      <c r="OXP208" s="199"/>
      <c r="OXQ208" s="199"/>
      <c r="OXR208" s="199"/>
      <c r="OXS208" s="199"/>
      <c r="OXT208" s="199"/>
      <c r="OXU208" s="199"/>
      <c r="OXV208" s="199"/>
      <c r="OXW208" s="199"/>
      <c r="OXX208" s="199"/>
      <c r="OXY208" s="199"/>
      <c r="OXZ208" s="199"/>
      <c r="OYA208" s="199"/>
      <c r="OYB208" s="199"/>
      <c r="OYC208" s="199"/>
      <c r="OYD208" s="199"/>
      <c r="OYE208" s="199"/>
      <c r="OYF208" s="199"/>
      <c r="OYG208" s="199"/>
      <c r="OYH208" s="199"/>
      <c r="OYI208" s="199"/>
      <c r="OYJ208" s="199"/>
      <c r="OYK208" s="199"/>
      <c r="OYL208" s="199"/>
      <c r="OYM208" s="199"/>
      <c r="OYN208" s="199"/>
      <c r="OYO208" s="199"/>
      <c r="OYP208" s="199"/>
      <c r="OYQ208" s="199"/>
      <c r="OYR208" s="199"/>
      <c r="OYS208" s="199"/>
      <c r="OYT208" s="199"/>
      <c r="OYU208" s="199"/>
      <c r="OYV208" s="199"/>
      <c r="OYW208" s="199"/>
      <c r="OYX208" s="199"/>
      <c r="OYY208" s="199"/>
      <c r="OYZ208" s="199"/>
      <c r="OZA208" s="199"/>
      <c r="OZB208" s="199"/>
      <c r="OZC208" s="199"/>
      <c r="OZD208" s="199"/>
      <c r="OZE208" s="199"/>
      <c r="OZF208" s="199"/>
      <c r="OZG208" s="199"/>
      <c r="OZH208" s="199"/>
      <c r="OZI208" s="199"/>
      <c r="OZJ208" s="199"/>
      <c r="OZK208" s="199"/>
      <c r="OZL208" s="199"/>
      <c r="OZM208" s="199"/>
      <c r="OZN208" s="199"/>
      <c r="OZO208" s="199"/>
      <c r="OZP208" s="199"/>
      <c r="OZQ208" s="199"/>
      <c r="OZR208" s="199"/>
      <c r="OZS208" s="199"/>
      <c r="OZT208" s="199"/>
      <c r="OZU208" s="199"/>
      <c r="OZV208" s="199"/>
      <c r="OZW208" s="199"/>
      <c r="OZX208" s="199"/>
      <c r="OZY208" s="199"/>
      <c r="OZZ208" s="199"/>
      <c r="PAA208" s="199"/>
      <c r="PAB208" s="199"/>
      <c r="PAC208" s="199"/>
      <c r="PAD208" s="199"/>
      <c r="PAE208" s="199"/>
      <c r="PAF208" s="199"/>
      <c r="PAG208" s="199"/>
      <c r="PAH208" s="199"/>
      <c r="PAI208" s="199"/>
      <c r="PAJ208" s="199"/>
      <c r="PAK208" s="199"/>
      <c r="PAL208" s="199"/>
      <c r="PAM208" s="199"/>
      <c r="PAN208" s="199"/>
      <c r="PAO208" s="199"/>
      <c r="PAP208" s="199"/>
      <c r="PAQ208" s="199"/>
      <c r="PAR208" s="199"/>
      <c r="PAS208" s="199"/>
      <c r="PAT208" s="199"/>
      <c r="PAU208" s="199"/>
      <c r="PAV208" s="199"/>
      <c r="PAW208" s="199"/>
      <c r="PAX208" s="199"/>
      <c r="PAY208" s="199"/>
      <c r="PAZ208" s="199"/>
      <c r="PBA208" s="199"/>
      <c r="PBB208" s="199"/>
      <c r="PBC208" s="199"/>
      <c r="PBD208" s="199"/>
      <c r="PBE208" s="199"/>
      <c r="PBF208" s="199"/>
      <c r="PBG208" s="199"/>
      <c r="PBH208" s="199"/>
      <c r="PBI208" s="199"/>
      <c r="PBJ208" s="199"/>
      <c r="PBK208" s="199"/>
      <c r="PBL208" s="199"/>
      <c r="PBM208" s="199"/>
      <c r="PBN208" s="199"/>
      <c r="PBO208" s="199"/>
      <c r="PBP208" s="199"/>
      <c r="PBQ208" s="199"/>
      <c r="PBR208" s="199"/>
      <c r="PBS208" s="199"/>
      <c r="PBT208" s="199"/>
      <c r="PBU208" s="199"/>
      <c r="PBV208" s="199"/>
      <c r="PBW208" s="199"/>
      <c r="PBX208" s="199"/>
      <c r="PBY208" s="199"/>
      <c r="PBZ208" s="199"/>
      <c r="PCA208" s="199"/>
      <c r="PCB208" s="199"/>
      <c r="PCC208" s="199"/>
      <c r="PCD208" s="199"/>
      <c r="PCE208" s="199"/>
      <c r="PCF208" s="199"/>
      <c r="PCG208" s="199"/>
      <c r="PCH208" s="199"/>
      <c r="PCI208" s="199"/>
      <c r="PCJ208" s="199"/>
      <c r="PCK208" s="199"/>
      <c r="PCL208" s="199"/>
      <c r="PCM208" s="199"/>
      <c r="PCN208" s="199"/>
      <c r="PCO208" s="199"/>
      <c r="PCP208" s="199"/>
      <c r="PCQ208" s="199"/>
      <c r="PCR208" s="199"/>
      <c r="PCS208" s="199"/>
      <c r="PCT208" s="199"/>
      <c r="PCU208" s="199"/>
      <c r="PCV208" s="199"/>
      <c r="PCW208" s="199"/>
      <c r="PCX208" s="199"/>
      <c r="PCY208" s="199"/>
      <c r="PCZ208" s="199"/>
      <c r="PDA208" s="199"/>
      <c r="PDB208" s="199"/>
      <c r="PDC208" s="199"/>
      <c r="PDD208" s="199"/>
      <c r="PDE208" s="199"/>
      <c r="PDF208" s="199"/>
      <c r="PDG208" s="199"/>
      <c r="PDH208" s="199"/>
      <c r="PDI208" s="199"/>
      <c r="PDJ208" s="199"/>
      <c r="PDK208" s="199"/>
      <c r="PDL208" s="199"/>
      <c r="PDM208" s="199"/>
      <c r="PDN208" s="199"/>
      <c r="PDO208" s="199"/>
      <c r="PDP208" s="199"/>
      <c r="PDQ208" s="199"/>
      <c r="PDR208" s="199"/>
      <c r="PDS208" s="199"/>
      <c r="PDT208" s="199"/>
      <c r="PDU208" s="199"/>
      <c r="PDV208" s="199"/>
      <c r="PDW208" s="199"/>
      <c r="PDX208" s="199"/>
      <c r="PDY208" s="199"/>
      <c r="PDZ208" s="199"/>
      <c r="PEA208" s="199"/>
      <c r="PEB208" s="199"/>
      <c r="PEC208" s="199"/>
      <c r="PED208" s="199"/>
      <c r="PEE208" s="199"/>
      <c r="PEF208" s="199"/>
      <c r="PEG208" s="199"/>
      <c r="PEH208" s="199"/>
      <c r="PEI208" s="199"/>
      <c r="PEJ208" s="199"/>
      <c r="PEK208" s="199"/>
      <c r="PEL208" s="199"/>
      <c r="PEM208" s="199"/>
      <c r="PEN208" s="199"/>
      <c r="PEO208" s="199"/>
      <c r="PEP208" s="199"/>
      <c r="PEQ208" s="199"/>
      <c r="PER208" s="199"/>
      <c r="PES208" s="199"/>
      <c r="PET208" s="199"/>
      <c r="PEU208" s="199"/>
      <c r="PEV208" s="199"/>
      <c r="PEW208" s="199"/>
      <c r="PEX208" s="199"/>
      <c r="PEY208" s="199"/>
      <c r="PEZ208" s="199"/>
      <c r="PFA208" s="199"/>
      <c r="PFB208" s="199"/>
      <c r="PFC208" s="199"/>
      <c r="PFD208" s="199"/>
      <c r="PFE208" s="199"/>
      <c r="PFF208" s="199"/>
      <c r="PFG208" s="199"/>
      <c r="PFH208" s="199"/>
      <c r="PFI208" s="199"/>
      <c r="PFJ208" s="199"/>
      <c r="PFK208" s="199"/>
      <c r="PFL208" s="199"/>
      <c r="PFM208" s="199"/>
      <c r="PFN208" s="199"/>
      <c r="PFO208" s="199"/>
      <c r="PFP208" s="199"/>
      <c r="PFQ208" s="199"/>
      <c r="PFR208" s="199"/>
      <c r="PFS208" s="199"/>
      <c r="PFT208" s="199"/>
      <c r="PFU208" s="199"/>
      <c r="PFV208" s="199"/>
      <c r="PFW208" s="199"/>
      <c r="PFX208" s="199"/>
      <c r="PFY208" s="199"/>
      <c r="PFZ208" s="199"/>
      <c r="PGA208" s="199"/>
      <c r="PGB208" s="199"/>
      <c r="PGC208" s="199"/>
      <c r="PGD208" s="199"/>
      <c r="PGE208" s="199"/>
      <c r="PGF208" s="199"/>
      <c r="PGG208" s="199"/>
      <c r="PGH208" s="199"/>
      <c r="PGI208" s="199"/>
      <c r="PGJ208" s="199"/>
      <c r="PGK208" s="199"/>
      <c r="PGL208" s="199"/>
      <c r="PGM208" s="199"/>
      <c r="PGN208" s="199"/>
      <c r="PGO208" s="199"/>
      <c r="PGP208" s="199"/>
      <c r="PGQ208" s="199"/>
      <c r="PGR208" s="199"/>
      <c r="PGS208" s="199"/>
      <c r="PGT208" s="199"/>
      <c r="PGU208" s="199"/>
      <c r="PGV208" s="199"/>
      <c r="PGW208" s="199"/>
      <c r="PGX208" s="199"/>
      <c r="PGY208" s="199"/>
      <c r="PGZ208" s="199"/>
      <c r="PHA208" s="199"/>
      <c r="PHB208" s="199"/>
      <c r="PHC208" s="199"/>
      <c r="PHD208" s="199"/>
      <c r="PHE208" s="199"/>
      <c r="PHF208" s="199"/>
      <c r="PHG208" s="199"/>
      <c r="PHH208" s="199"/>
      <c r="PHI208" s="199"/>
      <c r="PHJ208" s="199"/>
      <c r="PHK208" s="199"/>
      <c r="PHL208" s="199"/>
      <c r="PHM208" s="199"/>
      <c r="PHN208" s="199"/>
      <c r="PHO208" s="199"/>
      <c r="PHP208" s="199"/>
      <c r="PHQ208" s="199"/>
      <c r="PHR208" s="199"/>
      <c r="PHS208" s="199"/>
      <c r="PHT208" s="199"/>
      <c r="PHU208" s="199"/>
      <c r="PHV208" s="199"/>
      <c r="PHW208" s="199"/>
      <c r="PHX208" s="199"/>
      <c r="PHY208" s="199"/>
      <c r="PHZ208" s="199"/>
      <c r="PIA208" s="199"/>
      <c r="PIB208" s="199"/>
      <c r="PIC208" s="199"/>
      <c r="PID208" s="199"/>
      <c r="PIE208" s="199"/>
      <c r="PIF208" s="199"/>
      <c r="PIG208" s="199"/>
      <c r="PIH208" s="199"/>
      <c r="PII208" s="199"/>
      <c r="PIJ208" s="199"/>
      <c r="PIK208" s="199"/>
      <c r="PIL208" s="199"/>
      <c r="PIM208" s="199"/>
      <c r="PIN208" s="199"/>
      <c r="PIO208" s="199"/>
      <c r="PIP208" s="199"/>
      <c r="PIQ208" s="199"/>
      <c r="PIR208" s="199"/>
      <c r="PIS208" s="199"/>
      <c r="PIT208" s="199"/>
      <c r="PIU208" s="199"/>
      <c r="PIV208" s="199"/>
      <c r="PIW208" s="199"/>
      <c r="PIX208" s="199"/>
      <c r="PIY208" s="199"/>
      <c r="PIZ208" s="199"/>
      <c r="PJA208" s="199"/>
      <c r="PJB208" s="199"/>
      <c r="PJC208" s="199"/>
      <c r="PJD208" s="199"/>
      <c r="PJE208" s="199"/>
      <c r="PJF208" s="199"/>
      <c r="PJG208" s="199"/>
      <c r="PJH208" s="199"/>
      <c r="PJI208" s="199"/>
      <c r="PJJ208" s="199"/>
      <c r="PJK208" s="199"/>
      <c r="PJL208" s="199"/>
      <c r="PJM208" s="199"/>
      <c r="PJN208" s="199"/>
      <c r="PJO208" s="199"/>
      <c r="PJP208" s="199"/>
      <c r="PJQ208" s="199"/>
      <c r="PJR208" s="199"/>
      <c r="PJS208" s="199"/>
      <c r="PJT208" s="199"/>
      <c r="PJU208" s="199"/>
      <c r="PJV208" s="199"/>
      <c r="PJW208" s="199"/>
      <c r="PJX208" s="199"/>
      <c r="PJY208" s="199"/>
      <c r="PJZ208" s="199"/>
      <c r="PKA208" s="199"/>
      <c r="PKB208" s="199"/>
      <c r="PKC208" s="199"/>
      <c r="PKD208" s="199"/>
      <c r="PKE208" s="199"/>
      <c r="PKF208" s="199"/>
      <c r="PKG208" s="199"/>
      <c r="PKH208" s="199"/>
      <c r="PKI208" s="199"/>
      <c r="PKJ208" s="199"/>
      <c r="PKK208" s="199"/>
      <c r="PKL208" s="199"/>
      <c r="PKM208" s="199"/>
      <c r="PKN208" s="199"/>
      <c r="PKO208" s="199"/>
      <c r="PKP208" s="199"/>
      <c r="PKQ208" s="199"/>
      <c r="PKR208" s="199"/>
      <c r="PKS208" s="199"/>
      <c r="PKT208" s="199"/>
      <c r="PKU208" s="199"/>
      <c r="PKV208" s="199"/>
      <c r="PKW208" s="199"/>
      <c r="PKX208" s="199"/>
      <c r="PKY208" s="199"/>
      <c r="PKZ208" s="199"/>
      <c r="PLA208" s="199"/>
      <c r="PLB208" s="199"/>
      <c r="PLC208" s="199"/>
      <c r="PLD208" s="199"/>
      <c r="PLE208" s="199"/>
      <c r="PLF208" s="199"/>
      <c r="PLG208" s="199"/>
      <c r="PLH208" s="199"/>
      <c r="PLI208" s="199"/>
      <c r="PLJ208" s="199"/>
      <c r="PLK208" s="199"/>
      <c r="PLL208" s="199"/>
      <c r="PLM208" s="199"/>
      <c r="PLN208" s="199"/>
      <c r="PLO208" s="199"/>
      <c r="PLP208" s="199"/>
      <c r="PLQ208" s="199"/>
      <c r="PLR208" s="199"/>
      <c r="PLS208" s="199"/>
      <c r="PLT208" s="199"/>
      <c r="PLU208" s="199"/>
      <c r="PLV208" s="199"/>
      <c r="PLW208" s="199"/>
      <c r="PLX208" s="199"/>
      <c r="PLY208" s="199"/>
      <c r="PLZ208" s="199"/>
      <c r="PMA208" s="199"/>
      <c r="PMB208" s="199"/>
      <c r="PMC208" s="199"/>
      <c r="PMD208" s="199"/>
      <c r="PME208" s="199"/>
      <c r="PMF208" s="199"/>
      <c r="PMG208" s="199"/>
      <c r="PMH208" s="199"/>
      <c r="PMI208" s="199"/>
      <c r="PMJ208" s="199"/>
      <c r="PMK208" s="199"/>
      <c r="PML208" s="199"/>
      <c r="PMM208" s="199"/>
      <c r="PMN208" s="199"/>
      <c r="PMO208" s="199"/>
      <c r="PMP208" s="199"/>
      <c r="PMQ208" s="199"/>
      <c r="PMR208" s="199"/>
      <c r="PMS208" s="199"/>
      <c r="PMT208" s="199"/>
      <c r="PMU208" s="199"/>
      <c r="PMV208" s="199"/>
      <c r="PMW208" s="199"/>
      <c r="PMX208" s="199"/>
      <c r="PMY208" s="199"/>
      <c r="PMZ208" s="199"/>
      <c r="PNA208" s="199"/>
      <c r="PNB208" s="199"/>
      <c r="PNC208" s="199"/>
      <c r="PND208" s="199"/>
      <c r="PNE208" s="199"/>
      <c r="PNF208" s="199"/>
      <c r="PNG208" s="199"/>
      <c r="PNH208" s="199"/>
      <c r="PNI208" s="199"/>
      <c r="PNJ208" s="199"/>
      <c r="PNK208" s="199"/>
      <c r="PNL208" s="199"/>
      <c r="PNM208" s="199"/>
      <c r="PNN208" s="199"/>
      <c r="PNO208" s="199"/>
      <c r="PNP208" s="199"/>
      <c r="PNQ208" s="199"/>
      <c r="PNR208" s="199"/>
      <c r="PNS208" s="199"/>
      <c r="PNT208" s="199"/>
      <c r="PNU208" s="199"/>
      <c r="PNV208" s="199"/>
      <c r="PNW208" s="199"/>
      <c r="PNX208" s="199"/>
      <c r="PNY208" s="199"/>
      <c r="PNZ208" s="199"/>
      <c r="POA208" s="199"/>
      <c r="POB208" s="199"/>
      <c r="POC208" s="199"/>
      <c r="POD208" s="199"/>
      <c r="POE208" s="199"/>
      <c r="POF208" s="199"/>
      <c r="POG208" s="199"/>
      <c r="POH208" s="199"/>
      <c r="POI208" s="199"/>
      <c r="POJ208" s="199"/>
      <c r="POK208" s="199"/>
      <c r="POL208" s="199"/>
      <c r="POM208" s="199"/>
      <c r="PON208" s="199"/>
      <c r="POO208" s="199"/>
      <c r="POP208" s="199"/>
      <c r="POQ208" s="199"/>
      <c r="POR208" s="199"/>
      <c r="POS208" s="199"/>
      <c r="POT208" s="199"/>
      <c r="POU208" s="199"/>
      <c r="POV208" s="199"/>
      <c r="POW208" s="199"/>
      <c r="POX208" s="199"/>
      <c r="POY208" s="199"/>
      <c r="POZ208" s="199"/>
      <c r="PPA208" s="199"/>
      <c r="PPB208" s="199"/>
      <c r="PPC208" s="199"/>
      <c r="PPD208" s="199"/>
      <c r="PPE208" s="199"/>
      <c r="PPF208" s="199"/>
      <c r="PPG208" s="199"/>
      <c r="PPH208" s="199"/>
      <c r="PPI208" s="199"/>
      <c r="PPJ208" s="199"/>
      <c r="PPK208" s="199"/>
      <c r="PPL208" s="199"/>
      <c r="PPM208" s="199"/>
      <c r="PPN208" s="199"/>
      <c r="PPO208" s="199"/>
      <c r="PPP208" s="199"/>
      <c r="PPQ208" s="199"/>
      <c r="PPR208" s="199"/>
      <c r="PPS208" s="199"/>
      <c r="PPT208" s="199"/>
      <c r="PPU208" s="199"/>
      <c r="PPV208" s="199"/>
      <c r="PPW208" s="199"/>
      <c r="PPX208" s="199"/>
      <c r="PPY208" s="199"/>
      <c r="PPZ208" s="199"/>
      <c r="PQA208" s="199"/>
      <c r="PQB208" s="199"/>
      <c r="PQC208" s="199"/>
      <c r="PQD208" s="199"/>
      <c r="PQE208" s="199"/>
      <c r="PQF208" s="199"/>
      <c r="PQG208" s="199"/>
      <c r="PQH208" s="199"/>
      <c r="PQI208" s="199"/>
      <c r="PQJ208" s="199"/>
      <c r="PQK208" s="199"/>
      <c r="PQL208" s="199"/>
      <c r="PQM208" s="199"/>
      <c r="PQN208" s="199"/>
      <c r="PQO208" s="199"/>
      <c r="PQP208" s="199"/>
      <c r="PQQ208" s="199"/>
      <c r="PQR208" s="199"/>
      <c r="PQS208" s="199"/>
      <c r="PQT208" s="199"/>
      <c r="PQU208" s="199"/>
      <c r="PQV208" s="199"/>
      <c r="PQW208" s="199"/>
      <c r="PQX208" s="199"/>
      <c r="PQY208" s="199"/>
      <c r="PQZ208" s="199"/>
      <c r="PRA208" s="199"/>
      <c r="PRB208" s="199"/>
      <c r="PRC208" s="199"/>
      <c r="PRD208" s="199"/>
      <c r="PRE208" s="199"/>
      <c r="PRF208" s="199"/>
      <c r="PRG208" s="199"/>
      <c r="PRH208" s="199"/>
      <c r="PRI208" s="199"/>
      <c r="PRJ208" s="199"/>
      <c r="PRK208" s="199"/>
      <c r="PRL208" s="199"/>
      <c r="PRM208" s="199"/>
      <c r="PRN208" s="199"/>
      <c r="PRO208" s="199"/>
      <c r="PRP208" s="199"/>
      <c r="PRQ208" s="199"/>
      <c r="PRR208" s="199"/>
      <c r="PRS208" s="199"/>
      <c r="PRT208" s="199"/>
      <c r="PRU208" s="199"/>
      <c r="PRV208" s="199"/>
      <c r="PRW208" s="199"/>
      <c r="PRX208" s="199"/>
      <c r="PRY208" s="199"/>
      <c r="PRZ208" s="199"/>
      <c r="PSA208" s="199"/>
      <c r="PSB208" s="199"/>
      <c r="PSC208" s="199"/>
      <c r="PSD208" s="199"/>
      <c r="PSE208" s="199"/>
      <c r="PSF208" s="199"/>
      <c r="PSG208" s="199"/>
      <c r="PSH208" s="199"/>
      <c r="PSI208" s="199"/>
      <c r="PSJ208" s="199"/>
      <c r="PSK208" s="199"/>
      <c r="PSL208" s="199"/>
      <c r="PSM208" s="199"/>
      <c r="PSN208" s="199"/>
      <c r="PSO208" s="199"/>
      <c r="PSP208" s="199"/>
      <c r="PSQ208" s="199"/>
      <c r="PSR208" s="199"/>
      <c r="PSS208" s="199"/>
      <c r="PST208" s="199"/>
      <c r="PSU208" s="199"/>
      <c r="PSV208" s="199"/>
      <c r="PSW208" s="199"/>
      <c r="PSX208" s="199"/>
      <c r="PSY208" s="199"/>
      <c r="PSZ208" s="199"/>
      <c r="PTA208" s="199"/>
      <c r="PTB208" s="199"/>
      <c r="PTC208" s="199"/>
      <c r="PTD208" s="199"/>
      <c r="PTE208" s="199"/>
      <c r="PTF208" s="199"/>
      <c r="PTG208" s="199"/>
      <c r="PTH208" s="199"/>
      <c r="PTI208" s="199"/>
      <c r="PTJ208" s="199"/>
      <c r="PTK208" s="199"/>
      <c r="PTL208" s="199"/>
      <c r="PTM208" s="199"/>
      <c r="PTN208" s="199"/>
      <c r="PTO208" s="199"/>
      <c r="PTP208" s="199"/>
      <c r="PTQ208" s="199"/>
      <c r="PTR208" s="199"/>
      <c r="PTS208" s="199"/>
      <c r="PTT208" s="199"/>
      <c r="PTU208" s="199"/>
      <c r="PTV208" s="199"/>
      <c r="PTW208" s="199"/>
      <c r="PTX208" s="199"/>
      <c r="PTY208" s="199"/>
      <c r="PTZ208" s="199"/>
      <c r="PUA208" s="199"/>
      <c r="PUB208" s="199"/>
      <c r="PUC208" s="199"/>
      <c r="PUD208" s="199"/>
      <c r="PUE208" s="199"/>
      <c r="PUF208" s="199"/>
      <c r="PUG208" s="199"/>
      <c r="PUH208" s="199"/>
      <c r="PUI208" s="199"/>
      <c r="PUJ208" s="199"/>
      <c r="PUK208" s="199"/>
      <c r="PUL208" s="199"/>
      <c r="PUM208" s="199"/>
      <c r="PUN208" s="199"/>
      <c r="PUO208" s="199"/>
      <c r="PUP208" s="199"/>
      <c r="PUQ208" s="199"/>
      <c r="PUR208" s="199"/>
      <c r="PUS208" s="199"/>
      <c r="PUT208" s="199"/>
      <c r="PUU208" s="199"/>
      <c r="PUV208" s="199"/>
      <c r="PUW208" s="199"/>
      <c r="PUX208" s="199"/>
      <c r="PUY208" s="199"/>
      <c r="PUZ208" s="199"/>
      <c r="PVA208" s="199"/>
      <c r="PVB208" s="199"/>
      <c r="PVC208" s="199"/>
      <c r="PVD208" s="199"/>
      <c r="PVE208" s="199"/>
      <c r="PVF208" s="199"/>
      <c r="PVG208" s="199"/>
      <c r="PVH208" s="199"/>
      <c r="PVI208" s="199"/>
      <c r="PVJ208" s="199"/>
      <c r="PVK208" s="199"/>
      <c r="PVL208" s="199"/>
      <c r="PVM208" s="199"/>
      <c r="PVN208" s="199"/>
      <c r="PVO208" s="199"/>
      <c r="PVP208" s="199"/>
      <c r="PVQ208" s="199"/>
      <c r="PVR208" s="199"/>
      <c r="PVS208" s="199"/>
      <c r="PVT208" s="199"/>
      <c r="PVU208" s="199"/>
      <c r="PVV208" s="199"/>
      <c r="PVW208" s="199"/>
      <c r="PVX208" s="199"/>
      <c r="PVY208" s="199"/>
      <c r="PVZ208" s="199"/>
      <c r="PWA208" s="199"/>
      <c r="PWB208" s="199"/>
      <c r="PWC208" s="199"/>
      <c r="PWD208" s="199"/>
      <c r="PWE208" s="199"/>
      <c r="PWF208" s="199"/>
      <c r="PWG208" s="199"/>
      <c r="PWH208" s="199"/>
      <c r="PWI208" s="199"/>
      <c r="PWJ208" s="199"/>
      <c r="PWK208" s="199"/>
      <c r="PWL208" s="199"/>
      <c r="PWM208" s="199"/>
      <c r="PWN208" s="199"/>
      <c r="PWO208" s="199"/>
      <c r="PWP208" s="199"/>
      <c r="PWQ208" s="199"/>
      <c r="PWR208" s="199"/>
      <c r="PWS208" s="199"/>
      <c r="PWT208" s="199"/>
      <c r="PWU208" s="199"/>
      <c r="PWV208" s="199"/>
      <c r="PWW208" s="199"/>
      <c r="PWX208" s="199"/>
      <c r="PWY208" s="199"/>
      <c r="PWZ208" s="199"/>
      <c r="PXA208" s="199"/>
      <c r="PXB208" s="199"/>
      <c r="PXC208" s="199"/>
      <c r="PXD208" s="199"/>
      <c r="PXE208" s="199"/>
      <c r="PXF208" s="199"/>
      <c r="PXG208" s="199"/>
      <c r="PXH208" s="199"/>
      <c r="PXI208" s="199"/>
      <c r="PXJ208" s="199"/>
      <c r="PXK208" s="199"/>
      <c r="PXL208" s="199"/>
      <c r="PXM208" s="199"/>
      <c r="PXN208" s="199"/>
      <c r="PXO208" s="199"/>
      <c r="PXP208" s="199"/>
      <c r="PXQ208" s="199"/>
      <c r="PXR208" s="199"/>
      <c r="PXS208" s="199"/>
      <c r="PXT208" s="199"/>
      <c r="PXU208" s="199"/>
      <c r="PXV208" s="199"/>
      <c r="PXW208" s="199"/>
      <c r="PXX208" s="199"/>
      <c r="PXY208" s="199"/>
      <c r="PXZ208" s="199"/>
      <c r="PYA208" s="199"/>
      <c r="PYB208" s="199"/>
      <c r="PYC208" s="199"/>
      <c r="PYD208" s="199"/>
      <c r="PYE208" s="199"/>
      <c r="PYF208" s="199"/>
      <c r="PYG208" s="199"/>
      <c r="PYH208" s="199"/>
      <c r="PYI208" s="199"/>
      <c r="PYJ208" s="199"/>
      <c r="PYK208" s="199"/>
      <c r="PYL208" s="199"/>
      <c r="PYM208" s="199"/>
      <c r="PYN208" s="199"/>
      <c r="PYO208" s="199"/>
      <c r="PYP208" s="199"/>
      <c r="PYQ208" s="199"/>
      <c r="PYR208" s="199"/>
      <c r="PYS208" s="199"/>
      <c r="PYT208" s="199"/>
      <c r="PYU208" s="199"/>
      <c r="PYV208" s="199"/>
      <c r="PYW208" s="199"/>
      <c r="PYX208" s="199"/>
      <c r="PYY208" s="199"/>
      <c r="PYZ208" s="199"/>
      <c r="PZA208" s="199"/>
      <c r="PZB208" s="199"/>
      <c r="PZC208" s="199"/>
      <c r="PZD208" s="199"/>
      <c r="PZE208" s="199"/>
      <c r="PZF208" s="199"/>
      <c r="PZG208" s="199"/>
      <c r="PZH208" s="199"/>
      <c r="PZI208" s="199"/>
      <c r="PZJ208" s="199"/>
      <c r="PZK208" s="199"/>
      <c r="PZL208" s="199"/>
      <c r="PZM208" s="199"/>
      <c r="PZN208" s="199"/>
      <c r="PZO208" s="199"/>
      <c r="PZP208" s="199"/>
      <c r="PZQ208" s="199"/>
      <c r="PZR208" s="199"/>
      <c r="PZS208" s="199"/>
      <c r="PZT208" s="199"/>
      <c r="PZU208" s="199"/>
      <c r="PZV208" s="199"/>
      <c r="PZW208" s="199"/>
      <c r="PZX208" s="199"/>
      <c r="PZY208" s="199"/>
      <c r="PZZ208" s="199"/>
      <c r="QAA208" s="199"/>
      <c r="QAB208" s="199"/>
      <c r="QAC208" s="199"/>
      <c r="QAD208" s="199"/>
      <c r="QAE208" s="199"/>
      <c r="QAF208" s="199"/>
      <c r="QAG208" s="199"/>
      <c r="QAH208" s="199"/>
      <c r="QAI208" s="199"/>
      <c r="QAJ208" s="199"/>
      <c r="QAK208" s="199"/>
      <c r="QAL208" s="199"/>
      <c r="QAM208" s="199"/>
      <c r="QAN208" s="199"/>
      <c r="QAO208" s="199"/>
      <c r="QAP208" s="199"/>
      <c r="QAQ208" s="199"/>
      <c r="QAR208" s="199"/>
      <c r="QAS208" s="199"/>
      <c r="QAT208" s="199"/>
      <c r="QAU208" s="199"/>
      <c r="QAV208" s="199"/>
      <c r="QAW208" s="199"/>
      <c r="QAX208" s="199"/>
      <c r="QAY208" s="199"/>
      <c r="QAZ208" s="199"/>
      <c r="QBA208" s="199"/>
      <c r="QBB208" s="199"/>
      <c r="QBC208" s="199"/>
      <c r="QBD208" s="199"/>
      <c r="QBE208" s="199"/>
      <c r="QBF208" s="199"/>
      <c r="QBG208" s="199"/>
      <c r="QBH208" s="199"/>
      <c r="QBI208" s="199"/>
      <c r="QBJ208" s="199"/>
      <c r="QBK208" s="199"/>
      <c r="QBL208" s="199"/>
      <c r="QBM208" s="199"/>
      <c r="QBN208" s="199"/>
      <c r="QBO208" s="199"/>
      <c r="QBP208" s="199"/>
      <c r="QBQ208" s="199"/>
      <c r="QBR208" s="199"/>
      <c r="QBS208" s="199"/>
      <c r="QBT208" s="199"/>
      <c r="QBU208" s="199"/>
      <c r="QBV208" s="199"/>
      <c r="QBW208" s="199"/>
      <c r="QBX208" s="199"/>
      <c r="QBY208" s="199"/>
      <c r="QBZ208" s="199"/>
      <c r="QCA208" s="199"/>
      <c r="QCB208" s="199"/>
      <c r="QCC208" s="199"/>
      <c r="QCD208" s="199"/>
      <c r="QCE208" s="199"/>
      <c r="QCF208" s="199"/>
      <c r="QCG208" s="199"/>
      <c r="QCH208" s="199"/>
      <c r="QCI208" s="199"/>
      <c r="QCJ208" s="199"/>
      <c r="QCK208" s="199"/>
      <c r="QCL208" s="199"/>
      <c r="QCM208" s="199"/>
      <c r="QCN208" s="199"/>
      <c r="QCO208" s="199"/>
      <c r="QCP208" s="199"/>
      <c r="QCQ208" s="199"/>
      <c r="QCR208" s="199"/>
      <c r="QCS208" s="199"/>
      <c r="QCT208" s="199"/>
      <c r="QCU208" s="199"/>
      <c r="QCV208" s="199"/>
      <c r="QCW208" s="199"/>
      <c r="QCX208" s="199"/>
      <c r="QCY208" s="199"/>
      <c r="QCZ208" s="199"/>
      <c r="QDA208" s="199"/>
      <c r="QDB208" s="199"/>
      <c r="QDC208" s="199"/>
      <c r="QDD208" s="199"/>
      <c r="QDE208" s="199"/>
      <c r="QDF208" s="199"/>
      <c r="QDG208" s="199"/>
      <c r="QDH208" s="199"/>
      <c r="QDI208" s="199"/>
      <c r="QDJ208" s="199"/>
      <c r="QDK208" s="199"/>
      <c r="QDL208" s="199"/>
      <c r="QDM208" s="199"/>
      <c r="QDN208" s="199"/>
      <c r="QDO208" s="199"/>
      <c r="QDP208" s="199"/>
      <c r="QDQ208" s="199"/>
      <c r="QDR208" s="199"/>
      <c r="QDS208" s="199"/>
      <c r="QDT208" s="199"/>
      <c r="QDU208" s="199"/>
      <c r="QDV208" s="199"/>
      <c r="QDW208" s="199"/>
      <c r="QDX208" s="199"/>
      <c r="QDY208" s="199"/>
      <c r="QDZ208" s="199"/>
      <c r="QEA208" s="199"/>
      <c r="QEB208" s="199"/>
      <c r="QEC208" s="199"/>
      <c r="QED208" s="199"/>
      <c r="QEE208" s="199"/>
      <c r="QEF208" s="199"/>
      <c r="QEG208" s="199"/>
      <c r="QEH208" s="199"/>
      <c r="QEI208" s="199"/>
      <c r="QEJ208" s="199"/>
      <c r="QEK208" s="199"/>
      <c r="QEL208" s="199"/>
      <c r="QEM208" s="199"/>
      <c r="QEN208" s="199"/>
      <c r="QEO208" s="199"/>
      <c r="QEP208" s="199"/>
      <c r="QEQ208" s="199"/>
      <c r="QER208" s="199"/>
      <c r="QES208" s="199"/>
      <c r="QET208" s="199"/>
      <c r="QEU208" s="199"/>
      <c r="QEV208" s="199"/>
      <c r="QEW208" s="199"/>
      <c r="QEX208" s="199"/>
      <c r="QEY208" s="199"/>
      <c r="QEZ208" s="199"/>
      <c r="QFA208" s="199"/>
      <c r="QFB208" s="199"/>
      <c r="QFC208" s="199"/>
      <c r="QFD208" s="199"/>
      <c r="QFE208" s="199"/>
      <c r="QFF208" s="199"/>
      <c r="QFG208" s="199"/>
      <c r="QFH208" s="199"/>
      <c r="QFI208" s="199"/>
      <c r="QFJ208" s="199"/>
      <c r="QFK208" s="199"/>
      <c r="QFL208" s="199"/>
      <c r="QFM208" s="199"/>
      <c r="QFN208" s="199"/>
      <c r="QFO208" s="199"/>
      <c r="QFP208" s="199"/>
      <c r="QFQ208" s="199"/>
      <c r="QFR208" s="199"/>
      <c r="QFS208" s="199"/>
      <c r="QFT208" s="199"/>
      <c r="QFU208" s="199"/>
      <c r="QFV208" s="199"/>
      <c r="QFW208" s="199"/>
      <c r="QFX208" s="199"/>
      <c r="QFY208" s="199"/>
      <c r="QFZ208" s="199"/>
      <c r="QGA208" s="199"/>
      <c r="QGB208" s="199"/>
      <c r="QGC208" s="199"/>
      <c r="QGD208" s="199"/>
      <c r="QGE208" s="199"/>
      <c r="QGF208" s="199"/>
      <c r="QGG208" s="199"/>
      <c r="QGH208" s="199"/>
      <c r="QGI208" s="199"/>
      <c r="QGJ208" s="199"/>
      <c r="QGK208" s="199"/>
      <c r="QGL208" s="199"/>
      <c r="QGM208" s="199"/>
      <c r="QGN208" s="199"/>
      <c r="QGO208" s="199"/>
      <c r="QGP208" s="199"/>
      <c r="QGQ208" s="199"/>
      <c r="QGR208" s="199"/>
      <c r="QGS208" s="199"/>
      <c r="QGT208" s="199"/>
      <c r="QGU208" s="199"/>
      <c r="QGV208" s="199"/>
      <c r="QGW208" s="199"/>
      <c r="QGX208" s="199"/>
      <c r="QGY208" s="199"/>
      <c r="QGZ208" s="199"/>
      <c r="QHA208" s="199"/>
      <c r="QHB208" s="199"/>
      <c r="QHC208" s="199"/>
      <c r="QHD208" s="199"/>
      <c r="QHE208" s="199"/>
      <c r="QHF208" s="199"/>
      <c r="QHG208" s="199"/>
      <c r="QHH208" s="199"/>
      <c r="QHI208" s="199"/>
      <c r="QHJ208" s="199"/>
      <c r="QHK208" s="199"/>
      <c r="QHL208" s="199"/>
      <c r="QHM208" s="199"/>
      <c r="QHN208" s="199"/>
      <c r="QHO208" s="199"/>
      <c r="QHP208" s="199"/>
      <c r="QHQ208" s="199"/>
      <c r="QHR208" s="199"/>
      <c r="QHS208" s="199"/>
      <c r="QHT208" s="199"/>
      <c r="QHU208" s="199"/>
      <c r="QHV208" s="199"/>
      <c r="QHW208" s="199"/>
      <c r="QHX208" s="199"/>
      <c r="QHY208" s="199"/>
      <c r="QHZ208" s="199"/>
      <c r="QIA208" s="199"/>
      <c r="QIB208" s="199"/>
      <c r="QIC208" s="199"/>
      <c r="QID208" s="199"/>
      <c r="QIE208" s="199"/>
      <c r="QIF208" s="199"/>
      <c r="QIG208" s="199"/>
      <c r="QIH208" s="199"/>
      <c r="QII208" s="199"/>
      <c r="QIJ208" s="199"/>
      <c r="QIK208" s="199"/>
      <c r="QIL208" s="199"/>
      <c r="QIM208" s="199"/>
      <c r="QIN208" s="199"/>
      <c r="QIO208" s="199"/>
      <c r="QIP208" s="199"/>
      <c r="QIQ208" s="199"/>
      <c r="QIR208" s="199"/>
      <c r="QIS208" s="199"/>
      <c r="QIT208" s="199"/>
      <c r="QIU208" s="199"/>
      <c r="QIV208" s="199"/>
      <c r="QIW208" s="199"/>
      <c r="QIX208" s="199"/>
      <c r="QIY208" s="199"/>
      <c r="QIZ208" s="199"/>
      <c r="QJA208" s="199"/>
      <c r="QJB208" s="199"/>
      <c r="QJC208" s="199"/>
      <c r="QJD208" s="199"/>
      <c r="QJE208" s="199"/>
      <c r="QJF208" s="199"/>
      <c r="QJG208" s="199"/>
      <c r="QJH208" s="199"/>
      <c r="QJI208" s="199"/>
      <c r="QJJ208" s="199"/>
      <c r="QJK208" s="199"/>
      <c r="QJL208" s="199"/>
      <c r="QJM208" s="199"/>
      <c r="QJN208" s="199"/>
      <c r="QJO208" s="199"/>
      <c r="QJP208" s="199"/>
      <c r="QJQ208" s="199"/>
      <c r="QJR208" s="199"/>
      <c r="QJS208" s="199"/>
      <c r="QJT208" s="199"/>
      <c r="QJU208" s="199"/>
      <c r="QJV208" s="199"/>
      <c r="QJW208" s="199"/>
      <c r="QJX208" s="199"/>
      <c r="QJY208" s="199"/>
      <c r="QJZ208" s="199"/>
      <c r="QKA208" s="199"/>
      <c r="QKB208" s="199"/>
      <c r="QKC208" s="199"/>
      <c r="QKD208" s="199"/>
      <c r="QKE208" s="199"/>
      <c r="QKF208" s="199"/>
      <c r="QKG208" s="199"/>
      <c r="QKH208" s="199"/>
      <c r="QKI208" s="199"/>
      <c r="QKJ208" s="199"/>
      <c r="QKK208" s="199"/>
      <c r="QKL208" s="199"/>
      <c r="QKM208" s="199"/>
      <c r="QKN208" s="199"/>
      <c r="QKO208" s="199"/>
      <c r="QKP208" s="199"/>
      <c r="QKQ208" s="199"/>
      <c r="QKR208" s="199"/>
      <c r="QKS208" s="199"/>
      <c r="QKT208" s="199"/>
      <c r="QKU208" s="199"/>
      <c r="QKV208" s="199"/>
      <c r="QKW208" s="199"/>
      <c r="QKX208" s="199"/>
      <c r="QKY208" s="199"/>
      <c r="QKZ208" s="199"/>
      <c r="QLA208" s="199"/>
      <c r="QLB208" s="199"/>
      <c r="QLC208" s="199"/>
      <c r="QLD208" s="199"/>
      <c r="QLE208" s="199"/>
      <c r="QLF208" s="199"/>
      <c r="QLG208" s="199"/>
      <c r="QLH208" s="199"/>
      <c r="QLI208" s="199"/>
      <c r="QLJ208" s="199"/>
      <c r="QLK208" s="199"/>
      <c r="QLL208" s="199"/>
      <c r="QLM208" s="199"/>
      <c r="QLN208" s="199"/>
      <c r="QLO208" s="199"/>
      <c r="QLP208" s="199"/>
      <c r="QLQ208" s="199"/>
      <c r="QLR208" s="199"/>
      <c r="QLS208" s="199"/>
      <c r="QLT208" s="199"/>
      <c r="QLU208" s="199"/>
      <c r="QLV208" s="199"/>
      <c r="QLW208" s="199"/>
      <c r="QLX208" s="199"/>
      <c r="QLY208" s="199"/>
      <c r="QLZ208" s="199"/>
      <c r="QMA208" s="199"/>
      <c r="QMB208" s="199"/>
      <c r="QMC208" s="199"/>
      <c r="QMD208" s="199"/>
      <c r="QME208" s="199"/>
      <c r="QMF208" s="199"/>
      <c r="QMG208" s="199"/>
      <c r="QMH208" s="199"/>
      <c r="QMI208" s="199"/>
      <c r="QMJ208" s="199"/>
      <c r="QMK208" s="199"/>
      <c r="QML208" s="199"/>
      <c r="QMM208" s="199"/>
      <c r="QMN208" s="199"/>
      <c r="QMO208" s="199"/>
      <c r="QMP208" s="199"/>
      <c r="QMQ208" s="199"/>
      <c r="QMR208" s="199"/>
      <c r="QMS208" s="199"/>
      <c r="QMT208" s="199"/>
      <c r="QMU208" s="199"/>
      <c r="QMV208" s="199"/>
      <c r="QMW208" s="199"/>
      <c r="QMX208" s="199"/>
      <c r="QMY208" s="199"/>
      <c r="QMZ208" s="199"/>
      <c r="QNA208" s="199"/>
      <c r="QNB208" s="199"/>
      <c r="QNC208" s="199"/>
      <c r="QND208" s="199"/>
      <c r="QNE208" s="199"/>
      <c r="QNF208" s="199"/>
      <c r="QNG208" s="199"/>
      <c r="QNH208" s="199"/>
      <c r="QNI208" s="199"/>
      <c r="QNJ208" s="199"/>
      <c r="QNK208" s="199"/>
      <c r="QNL208" s="199"/>
      <c r="QNM208" s="199"/>
      <c r="QNN208" s="199"/>
      <c r="QNO208" s="199"/>
      <c r="QNP208" s="199"/>
      <c r="QNQ208" s="199"/>
      <c r="QNR208" s="199"/>
      <c r="QNS208" s="199"/>
      <c r="QNT208" s="199"/>
      <c r="QNU208" s="199"/>
      <c r="QNV208" s="199"/>
      <c r="QNW208" s="199"/>
      <c r="QNX208" s="199"/>
      <c r="QNY208" s="199"/>
      <c r="QNZ208" s="199"/>
      <c r="QOA208" s="199"/>
      <c r="QOB208" s="199"/>
      <c r="QOC208" s="199"/>
      <c r="QOD208" s="199"/>
      <c r="QOE208" s="199"/>
      <c r="QOF208" s="199"/>
      <c r="QOG208" s="199"/>
      <c r="QOH208" s="199"/>
      <c r="QOI208" s="199"/>
      <c r="QOJ208" s="199"/>
      <c r="QOK208" s="199"/>
      <c r="QOL208" s="199"/>
      <c r="QOM208" s="199"/>
      <c r="QON208" s="199"/>
      <c r="QOO208" s="199"/>
      <c r="QOP208" s="199"/>
      <c r="QOQ208" s="199"/>
      <c r="QOR208" s="199"/>
      <c r="QOS208" s="199"/>
      <c r="QOT208" s="199"/>
      <c r="QOU208" s="199"/>
      <c r="QOV208" s="199"/>
      <c r="QOW208" s="199"/>
      <c r="QOX208" s="199"/>
      <c r="QOY208" s="199"/>
      <c r="QOZ208" s="199"/>
      <c r="QPA208" s="199"/>
      <c r="QPB208" s="199"/>
      <c r="QPC208" s="199"/>
      <c r="QPD208" s="199"/>
      <c r="QPE208" s="199"/>
      <c r="QPF208" s="199"/>
      <c r="QPG208" s="199"/>
      <c r="QPH208" s="199"/>
      <c r="QPI208" s="199"/>
      <c r="QPJ208" s="199"/>
      <c r="QPK208" s="199"/>
      <c r="QPL208" s="199"/>
      <c r="QPM208" s="199"/>
      <c r="QPN208" s="199"/>
      <c r="QPO208" s="199"/>
      <c r="QPP208" s="199"/>
      <c r="QPQ208" s="199"/>
      <c r="QPR208" s="199"/>
      <c r="QPS208" s="199"/>
      <c r="QPT208" s="199"/>
      <c r="QPU208" s="199"/>
      <c r="QPV208" s="199"/>
      <c r="QPW208" s="199"/>
      <c r="QPX208" s="199"/>
      <c r="QPY208" s="199"/>
      <c r="QPZ208" s="199"/>
      <c r="QQA208" s="199"/>
      <c r="QQB208" s="199"/>
      <c r="QQC208" s="199"/>
      <c r="QQD208" s="199"/>
      <c r="QQE208" s="199"/>
      <c r="QQF208" s="199"/>
      <c r="QQG208" s="199"/>
      <c r="QQH208" s="199"/>
      <c r="QQI208" s="199"/>
      <c r="QQJ208" s="199"/>
      <c r="QQK208" s="199"/>
      <c r="QQL208" s="199"/>
      <c r="QQM208" s="199"/>
      <c r="QQN208" s="199"/>
      <c r="QQO208" s="199"/>
      <c r="QQP208" s="199"/>
      <c r="QQQ208" s="199"/>
      <c r="QQR208" s="199"/>
      <c r="QQS208" s="199"/>
      <c r="QQT208" s="199"/>
      <c r="QQU208" s="199"/>
      <c r="QQV208" s="199"/>
      <c r="QQW208" s="199"/>
      <c r="QQX208" s="199"/>
      <c r="QQY208" s="199"/>
      <c r="QQZ208" s="199"/>
      <c r="QRA208" s="199"/>
      <c r="QRB208" s="199"/>
      <c r="QRC208" s="199"/>
      <c r="QRD208" s="199"/>
      <c r="QRE208" s="199"/>
      <c r="QRF208" s="199"/>
      <c r="QRG208" s="199"/>
      <c r="QRH208" s="199"/>
      <c r="QRI208" s="199"/>
      <c r="QRJ208" s="199"/>
      <c r="QRK208" s="199"/>
      <c r="QRL208" s="199"/>
      <c r="QRM208" s="199"/>
      <c r="QRN208" s="199"/>
      <c r="QRO208" s="199"/>
      <c r="QRP208" s="199"/>
      <c r="QRQ208" s="199"/>
      <c r="QRR208" s="199"/>
      <c r="QRS208" s="199"/>
      <c r="QRT208" s="199"/>
      <c r="QRU208" s="199"/>
      <c r="QRV208" s="199"/>
      <c r="QRW208" s="199"/>
      <c r="QRX208" s="199"/>
      <c r="QRY208" s="199"/>
      <c r="QRZ208" s="199"/>
      <c r="QSA208" s="199"/>
      <c r="QSB208" s="199"/>
      <c r="QSC208" s="199"/>
      <c r="QSD208" s="199"/>
      <c r="QSE208" s="199"/>
      <c r="QSF208" s="199"/>
      <c r="QSG208" s="199"/>
      <c r="QSH208" s="199"/>
      <c r="QSI208" s="199"/>
      <c r="QSJ208" s="199"/>
      <c r="QSK208" s="199"/>
      <c r="QSL208" s="199"/>
      <c r="QSM208" s="199"/>
      <c r="QSN208" s="199"/>
      <c r="QSO208" s="199"/>
      <c r="QSP208" s="199"/>
      <c r="QSQ208" s="199"/>
      <c r="QSR208" s="199"/>
      <c r="QSS208" s="199"/>
      <c r="QST208" s="199"/>
      <c r="QSU208" s="199"/>
      <c r="QSV208" s="199"/>
      <c r="QSW208" s="199"/>
      <c r="QSX208" s="199"/>
      <c r="QSY208" s="199"/>
      <c r="QSZ208" s="199"/>
      <c r="QTA208" s="199"/>
      <c r="QTB208" s="199"/>
      <c r="QTC208" s="199"/>
      <c r="QTD208" s="199"/>
      <c r="QTE208" s="199"/>
      <c r="QTF208" s="199"/>
      <c r="QTG208" s="199"/>
      <c r="QTH208" s="199"/>
      <c r="QTI208" s="199"/>
      <c r="QTJ208" s="199"/>
      <c r="QTK208" s="199"/>
      <c r="QTL208" s="199"/>
      <c r="QTM208" s="199"/>
      <c r="QTN208" s="199"/>
      <c r="QTO208" s="199"/>
      <c r="QTP208" s="199"/>
      <c r="QTQ208" s="199"/>
      <c r="QTR208" s="199"/>
      <c r="QTS208" s="199"/>
      <c r="QTT208" s="199"/>
      <c r="QTU208" s="199"/>
      <c r="QTV208" s="199"/>
      <c r="QTW208" s="199"/>
      <c r="QTX208" s="199"/>
      <c r="QTY208" s="199"/>
      <c r="QTZ208" s="199"/>
      <c r="QUA208" s="199"/>
      <c r="QUB208" s="199"/>
      <c r="QUC208" s="199"/>
      <c r="QUD208" s="199"/>
      <c r="QUE208" s="199"/>
      <c r="QUF208" s="199"/>
      <c r="QUG208" s="199"/>
      <c r="QUH208" s="199"/>
      <c r="QUI208" s="199"/>
      <c r="QUJ208" s="199"/>
      <c r="QUK208" s="199"/>
      <c r="QUL208" s="199"/>
      <c r="QUM208" s="199"/>
      <c r="QUN208" s="199"/>
      <c r="QUO208" s="199"/>
      <c r="QUP208" s="199"/>
      <c r="QUQ208" s="199"/>
      <c r="QUR208" s="199"/>
      <c r="QUS208" s="199"/>
      <c r="QUT208" s="199"/>
      <c r="QUU208" s="199"/>
      <c r="QUV208" s="199"/>
      <c r="QUW208" s="199"/>
      <c r="QUX208" s="199"/>
      <c r="QUY208" s="199"/>
      <c r="QUZ208" s="199"/>
      <c r="QVA208" s="199"/>
      <c r="QVB208" s="199"/>
      <c r="QVC208" s="199"/>
      <c r="QVD208" s="199"/>
      <c r="QVE208" s="199"/>
      <c r="QVF208" s="199"/>
      <c r="QVG208" s="199"/>
      <c r="QVH208" s="199"/>
      <c r="QVI208" s="199"/>
      <c r="QVJ208" s="199"/>
      <c r="QVK208" s="199"/>
      <c r="QVL208" s="199"/>
      <c r="QVM208" s="199"/>
      <c r="QVN208" s="199"/>
      <c r="QVO208" s="199"/>
      <c r="QVP208" s="199"/>
      <c r="QVQ208" s="199"/>
      <c r="QVR208" s="199"/>
      <c r="QVS208" s="199"/>
      <c r="QVT208" s="199"/>
      <c r="QVU208" s="199"/>
      <c r="QVV208" s="199"/>
      <c r="QVW208" s="199"/>
      <c r="QVX208" s="199"/>
      <c r="QVY208" s="199"/>
      <c r="QVZ208" s="199"/>
      <c r="QWA208" s="199"/>
      <c r="QWB208" s="199"/>
      <c r="QWC208" s="199"/>
      <c r="QWD208" s="199"/>
      <c r="QWE208" s="199"/>
      <c r="QWF208" s="199"/>
      <c r="QWG208" s="199"/>
      <c r="QWH208" s="199"/>
      <c r="QWI208" s="199"/>
      <c r="QWJ208" s="199"/>
      <c r="QWK208" s="199"/>
      <c r="QWL208" s="199"/>
      <c r="QWM208" s="199"/>
      <c r="QWN208" s="199"/>
      <c r="QWO208" s="199"/>
      <c r="QWP208" s="199"/>
      <c r="QWQ208" s="199"/>
      <c r="QWR208" s="199"/>
      <c r="QWS208" s="199"/>
      <c r="QWT208" s="199"/>
      <c r="QWU208" s="199"/>
      <c r="QWV208" s="199"/>
      <c r="QWW208" s="199"/>
      <c r="QWX208" s="199"/>
      <c r="QWY208" s="199"/>
      <c r="QWZ208" s="199"/>
      <c r="QXA208" s="199"/>
      <c r="QXB208" s="199"/>
      <c r="QXC208" s="199"/>
      <c r="QXD208" s="199"/>
      <c r="QXE208" s="199"/>
      <c r="QXF208" s="199"/>
      <c r="QXG208" s="199"/>
      <c r="QXH208" s="199"/>
      <c r="QXI208" s="199"/>
      <c r="QXJ208" s="199"/>
      <c r="QXK208" s="199"/>
      <c r="QXL208" s="199"/>
      <c r="QXM208" s="199"/>
      <c r="QXN208" s="199"/>
      <c r="QXO208" s="199"/>
      <c r="QXP208" s="199"/>
      <c r="QXQ208" s="199"/>
      <c r="QXR208" s="199"/>
      <c r="QXS208" s="199"/>
      <c r="QXT208" s="199"/>
      <c r="QXU208" s="199"/>
      <c r="QXV208" s="199"/>
      <c r="QXW208" s="199"/>
      <c r="QXX208" s="199"/>
      <c r="QXY208" s="199"/>
      <c r="QXZ208" s="199"/>
      <c r="QYA208" s="199"/>
      <c r="QYB208" s="199"/>
      <c r="QYC208" s="199"/>
      <c r="QYD208" s="199"/>
      <c r="QYE208" s="199"/>
      <c r="QYF208" s="199"/>
      <c r="QYG208" s="199"/>
      <c r="QYH208" s="199"/>
      <c r="QYI208" s="199"/>
      <c r="QYJ208" s="199"/>
      <c r="QYK208" s="199"/>
      <c r="QYL208" s="199"/>
      <c r="QYM208" s="199"/>
      <c r="QYN208" s="199"/>
      <c r="QYO208" s="199"/>
      <c r="QYP208" s="199"/>
      <c r="QYQ208" s="199"/>
      <c r="QYR208" s="199"/>
      <c r="QYS208" s="199"/>
      <c r="QYT208" s="199"/>
      <c r="QYU208" s="199"/>
      <c r="QYV208" s="199"/>
      <c r="QYW208" s="199"/>
      <c r="QYX208" s="199"/>
      <c r="QYY208" s="199"/>
      <c r="QYZ208" s="199"/>
      <c r="QZA208" s="199"/>
      <c r="QZB208" s="199"/>
      <c r="QZC208" s="199"/>
      <c r="QZD208" s="199"/>
      <c r="QZE208" s="199"/>
      <c r="QZF208" s="199"/>
      <c r="QZG208" s="199"/>
      <c r="QZH208" s="199"/>
      <c r="QZI208" s="199"/>
      <c r="QZJ208" s="199"/>
      <c r="QZK208" s="199"/>
      <c r="QZL208" s="199"/>
      <c r="QZM208" s="199"/>
      <c r="QZN208" s="199"/>
      <c r="QZO208" s="199"/>
      <c r="QZP208" s="199"/>
      <c r="QZQ208" s="199"/>
      <c r="QZR208" s="199"/>
      <c r="QZS208" s="199"/>
      <c r="QZT208" s="199"/>
      <c r="QZU208" s="199"/>
      <c r="QZV208" s="199"/>
      <c r="QZW208" s="199"/>
      <c r="QZX208" s="199"/>
      <c r="QZY208" s="199"/>
      <c r="QZZ208" s="199"/>
      <c r="RAA208" s="199"/>
      <c r="RAB208" s="199"/>
      <c r="RAC208" s="199"/>
      <c r="RAD208" s="199"/>
      <c r="RAE208" s="199"/>
      <c r="RAF208" s="199"/>
      <c r="RAG208" s="199"/>
      <c r="RAH208" s="199"/>
      <c r="RAI208" s="199"/>
      <c r="RAJ208" s="199"/>
      <c r="RAK208" s="199"/>
      <c r="RAL208" s="199"/>
      <c r="RAM208" s="199"/>
      <c r="RAN208" s="199"/>
      <c r="RAO208" s="199"/>
      <c r="RAP208" s="199"/>
      <c r="RAQ208" s="199"/>
      <c r="RAR208" s="199"/>
      <c r="RAS208" s="199"/>
      <c r="RAT208" s="199"/>
      <c r="RAU208" s="199"/>
      <c r="RAV208" s="199"/>
      <c r="RAW208" s="199"/>
      <c r="RAX208" s="199"/>
      <c r="RAY208" s="199"/>
      <c r="RAZ208" s="199"/>
      <c r="RBA208" s="199"/>
      <c r="RBB208" s="199"/>
      <c r="RBC208" s="199"/>
      <c r="RBD208" s="199"/>
      <c r="RBE208" s="199"/>
      <c r="RBF208" s="199"/>
      <c r="RBG208" s="199"/>
      <c r="RBH208" s="199"/>
      <c r="RBI208" s="199"/>
      <c r="RBJ208" s="199"/>
      <c r="RBK208" s="199"/>
      <c r="RBL208" s="199"/>
      <c r="RBM208" s="199"/>
      <c r="RBN208" s="199"/>
      <c r="RBO208" s="199"/>
      <c r="RBP208" s="199"/>
      <c r="RBQ208" s="199"/>
      <c r="RBR208" s="199"/>
      <c r="RBS208" s="199"/>
      <c r="RBT208" s="199"/>
      <c r="RBU208" s="199"/>
      <c r="RBV208" s="199"/>
      <c r="RBW208" s="199"/>
      <c r="RBX208" s="199"/>
      <c r="RBY208" s="199"/>
      <c r="RBZ208" s="199"/>
      <c r="RCA208" s="199"/>
      <c r="RCB208" s="199"/>
      <c r="RCC208" s="199"/>
      <c r="RCD208" s="199"/>
      <c r="RCE208" s="199"/>
      <c r="RCF208" s="199"/>
      <c r="RCG208" s="199"/>
      <c r="RCH208" s="199"/>
      <c r="RCI208" s="199"/>
      <c r="RCJ208" s="199"/>
      <c r="RCK208" s="199"/>
      <c r="RCL208" s="199"/>
      <c r="RCM208" s="199"/>
      <c r="RCN208" s="199"/>
      <c r="RCO208" s="199"/>
      <c r="RCP208" s="199"/>
      <c r="RCQ208" s="199"/>
      <c r="RCR208" s="199"/>
      <c r="RCS208" s="199"/>
      <c r="RCT208" s="199"/>
      <c r="RCU208" s="199"/>
      <c r="RCV208" s="199"/>
      <c r="RCW208" s="199"/>
      <c r="RCX208" s="199"/>
      <c r="RCY208" s="199"/>
      <c r="RCZ208" s="199"/>
      <c r="RDA208" s="199"/>
      <c r="RDB208" s="199"/>
      <c r="RDC208" s="199"/>
      <c r="RDD208" s="199"/>
      <c r="RDE208" s="199"/>
      <c r="RDF208" s="199"/>
      <c r="RDG208" s="199"/>
      <c r="RDH208" s="199"/>
      <c r="RDI208" s="199"/>
      <c r="RDJ208" s="199"/>
      <c r="RDK208" s="199"/>
      <c r="RDL208" s="199"/>
      <c r="RDM208" s="199"/>
      <c r="RDN208" s="199"/>
      <c r="RDO208" s="199"/>
      <c r="RDP208" s="199"/>
      <c r="RDQ208" s="199"/>
      <c r="RDR208" s="199"/>
      <c r="RDS208" s="199"/>
      <c r="RDT208" s="199"/>
      <c r="RDU208" s="199"/>
      <c r="RDV208" s="199"/>
      <c r="RDW208" s="199"/>
      <c r="RDX208" s="199"/>
      <c r="RDY208" s="199"/>
      <c r="RDZ208" s="199"/>
      <c r="REA208" s="199"/>
      <c r="REB208" s="199"/>
      <c r="REC208" s="199"/>
      <c r="RED208" s="199"/>
      <c r="REE208" s="199"/>
      <c r="REF208" s="199"/>
      <c r="REG208" s="199"/>
      <c r="REH208" s="199"/>
      <c r="REI208" s="199"/>
      <c r="REJ208" s="199"/>
      <c r="REK208" s="199"/>
      <c r="REL208" s="199"/>
      <c r="REM208" s="199"/>
      <c r="REN208" s="199"/>
      <c r="REO208" s="199"/>
      <c r="REP208" s="199"/>
      <c r="REQ208" s="199"/>
      <c r="RER208" s="199"/>
      <c r="RES208" s="199"/>
      <c r="RET208" s="199"/>
      <c r="REU208" s="199"/>
      <c r="REV208" s="199"/>
      <c r="REW208" s="199"/>
      <c r="REX208" s="199"/>
      <c r="REY208" s="199"/>
      <c r="REZ208" s="199"/>
      <c r="RFA208" s="199"/>
      <c r="RFB208" s="199"/>
      <c r="RFC208" s="199"/>
      <c r="RFD208" s="199"/>
      <c r="RFE208" s="199"/>
      <c r="RFF208" s="199"/>
      <c r="RFG208" s="199"/>
      <c r="RFH208" s="199"/>
      <c r="RFI208" s="199"/>
      <c r="RFJ208" s="199"/>
      <c r="RFK208" s="199"/>
      <c r="RFL208" s="199"/>
      <c r="RFM208" s="199"/>
      <c r="RFN208" s="199"/>
      <c r="RFO208" s="199"/>
      <c r="RFP208" s="199"/>
      <c r="RFQ208" s="199"/>
      <c r="RFR208" s="199"/>
      <c r="RFS208" s="199"/>
      <c r="RFT208" s="199"/>
      <c r="RFU208" s="199"/>
      <c r="RFV208" s="199"/>
      <c r="RFW208" s="199"/>
      <c r="RFX208" s="199"/>
      <c r="RFY208" s="199"/>
      <c r="RFZ208" s="199"/>
      <c r="RGA208" s="199"/>
      <c r="RGB208" s="199"/>
      <c r="RGC208" s="199"/>
      <c r="RGD208" s="199"/>
      <c r="RGE208" s="199"/>
      <c r="RGF208" s="199"/>
      <c r="RGG208" s="199"/>
      <c r="RGH208" s="199"/>
      <c r="RGI208" s="199"/>
      <c r="RGJ208" s="199"/>
      <c r="RGK208" s="199"/>
      <c r="RGL208" s="199"/>
      <c r="RGM208" s="199"/>
      <c r="RGN208" s="199"/>
      <c r="RGO208" s="199"/>
      <c r="RGP208" s="199"/>
      <c r="RGQ208" s="199"/>
      <c r="RGR208" s="199"/>
      <c r="RGS208" s="199"/>
      <c r="RGT208" s="199"/>
      <c r="RGU208" s="199"/>
      <c r="RGV208" s="199"/>
      <c r="RGW208" s="199"/>
      <c r="RGX208" s="199"/>
      <c r="RGY208" s="199"/>
      <c r="RGZ208" s="199"/>
      <c r="RHA208" s="199"/>
      <c r="RHB208" s="199"/>
      <c r="RHC208" s="199"/>
      <c r="RHD208" s="199"/>
      <c r="RHE208" s="199"/>
      <c r="RHF208" s="199"/>
      <c r="RHG208" s="199"/>
      <c r="RHH208" s="199"/>
      <c r="RHI208" s="199"/>
      <c r="RHJ208" s="199"/>
      <c r="RHK208" s="199"/>
      <c r="RHL208" s="199"/>
      <c r="RHM208" s="199"/>
      <c r="RHN208" s="199"/>
      <c r="RHO208" s="199"/>
      <c r="RHP208" s="199"/>
      <c r="RHQ208" s="199"/>
      <c r="RHR208" s="199"/>
      <c r="RHS208" s="199"/>
      <c r="RHT208" s="199"/>
      <c r="RHU208" s="199"/>
      <c r="RHV208" s="199"/>
      <c r="RHW208" s="199"/>
      <c r="RHX208" s="199"/>
      <c r="RHY208" s="199"/>
      <c r="RHZ208" s="199"/>
      <c r="RIA208" s="199"/>
      <c r="RIB208" s="199"/>
      <c r="RIC208" s="199"/>
      <c r="RID208" s="199"/>
      <c r="RIE208" s="199"/>
      <c r="RIF208" s="199"/>
      <c r="RIG208" s="199"/>
      <c r="RIH208" s="199"/>
      <c r="RII208" s="199"/>
      <c r="RIJ208" s="199"/>
      <c r="RIK208" s="199"/>
      <c r="RIL208" s="199"/>
      <c r="RIM208" s="199"/>
      <c r="RIN208" s="199"/>
      <c r="RIO208" s="199"/>
      <c r="RIP208" s="199"/>
      <c r="RIQ208" s="199"/>
      <c r="RIR208" s="199"/>
      <c r="RIS208" s="199"/>
      <c r="RIT208" s="199"/>
      <c r="RIU208" s="199"/>
      <c r="RIV208" s="199"/>
      <c r="RIW208" s="199"/>
      <c r="RIX208" s="199"/>
      <c r="RIY208" s="199"/>
      <c r="RIZ208" s="199"/>
      <c r="RJA208" s="199"/>
      <c r="RJB208" s="199"/>
      <c r="RJC208" s="199"/>
      <c r="RJD208" s="199"/>
      <c r="RJE208" s="199"/>
      <c r="RJF208" s="199"/>
      <c r="RJG208" s="199"/>
      <c r="RJH208" s="199"/>
      <c r="RJI208" s="199"/>
      <c r="RJJ208" s="199"/>
      <c r="RJK208" s="199"/>
      <c r="RJL208" s="199"/>
      <c r="RJM208" s="199"/>
      <c r="RJN208" s="199"/>
      <c r="RJO208" s="199"/>
      <c r="RJP208" s="199"/>
      <c r="RJQ208" s="199"/>
      <c r="RJR208" s="199"/>
      <c r="RJS208" s="199"/>
      <c r="RJT208" s="199"/>
      <c r="RJU208" s="199"/>
      <c r="RJV208" s="199"/>
      <c r="RJW208" s="199"/>
      <c r="RJX208" s="199"/>
      <c r="RJY208" s="199"/>
      <c r="RJZ208" s="199"/>
      <c r="RKA208" s="199"/>
      <c r="RKB208" s="199"/>
      <c r="RKC208" s="199"/>
      <c r="RKD208" s="199"/>
      <c r="RKE208" s="199"/>
      <c r="RKF208" s="199"/>
      <c r="RKG208" s="199"/>
      <c r="RKH208" s="199"/>
      <c r="RKI208" s="199"/>
      <c r="RKJ208" s="199"/>
      <c r="RKK208" s="199"/>
      <c r="RKL208" s="199"/>
      <c r="RKM208" s="199"/>
      <c r="RKN208" s="199"/>
      <c r="RKO208" s="199"/>
      <c r="RKP208" s="199"/>
      <c r="RKQ208" s="199"/>
      <c r="RKR208" s="199"/>
      <c r="RKS208" s="199"/>
      <c r="RKT208" s="199"/>
      <c r="RKU208" s="199"/>
      <c r="RKV208" s="199"/>
      <c r="RKW208" s="199"/>
      <c r="RKX208" s="199"/>
      <c r="RKY208" s="199"/>
      <c r="RKZ208" s="199"/>
      <c r="RLA208" s="199"/>
      <c r="RLB208" s="199"/>
      <c r="RLC208" s="199"/>
      <c r="RLD208" s="199"/>
      <c r="RLE208" s="199"/>
      <c r="RLF208" s="199"/>
      <c r="RLG208" s="199"/>
      <c r="RLH208" s="199"/>
      <c r="RLI208" s="199"/>
      <c r="RLJ208" s="199"/>
      <c r="RLK208" s="199"/>
      <c r="RLL208" s="199"/>
      <c r="RLM208" s="199"/>
      <c r="RLN208" s="199"/>
      <c r="RLO208" s="199"/>
      <c r="RLP208" s="199"/>
      <c r="RLQ208" s="199"/>
      <c r="RLR208" s="199"/>
      <c r="RLS208" s="199"/>
      <c r="RLT208" s="199"/>
      <c r="RLU208" s="199"/>
      <c r="RLV208" s="199"/>
      <c r="RLW208" s="199"/>
      <c r="RLX208" s="199"/>
      <c r="RLY208" s="199"/>
      <c r="RLZ208" s="199"/>
      <c r="RMA208" s="199"/>
      <c r="RMB208" s="199"/>
      <c r="RMC208" s="199"/>
      <c r="RMD208" s="199"/>
      <c r="RME208" s="199"/>
      <c r="RMF208" s="199"/>
      <c r="RMG208" s="199"/>
      <c r="RMH208" s="199"/>
      <c r="RMI208" s="199"/>
      <c r="RMJ208" s="199"/>
      <c r="RMK208" s="199"/>
      <c r="RML208" s="199"/>
      <c r="RMM208" s="199"/>
      <c r="RMN208" s="199"/>
      <c r="RMO208" s="199"/>
      <c r="RMP208" s="199"/>
      <c r="RMQ208" s="199"/>
      <c r="RMR208" s="199"/>
      <c r="RMS208" s="199"/>
      <c r="RMT208" s="199"/>
      <c r="RMU208" s="199"/>
      <c r="RMV208" s="199"/>
      <c r="RMW208" s="199"/>
      <c r="RMX208" s="199"/>
      <c r="RMY208" s="199"/>
      <c r="RMZ208" s="199"/>
      <c r="RNA208" s="199"/>
      <c r="RNB208" s="199"/>
      <c r="RNC208" s="199"/>
      <c r="RND208" s="199"/>
      <c r="RNE208" s="199"/>
      <c r="RNF208" s="199"/>
      <c r="RNG208" s="199"/>
      <c r="RNH208" s="199"/>
      <c r="RNI208" s="199"/>
      <c r="RNJ208" s="199"/>
      <c r="RNK208" s="199"/>
      <c r="RNL208" s="199"/>
      <c r="RNM208" s="199"/>
      <c r="RNN208" s="199"/>
      <c r="RNO208" s="199"/>
      <c r="RNP208" s="199"/>
      <c r="RNQ208" s="199"/>
      <c r="RNR208" s="199"/>
      <c r="RNS208" s="199"/>
      <c r="RNT208" s="199"/>
      <c r="RNU208" s="199"/>
      <c r="RNV208" s="199"/>
      <c r="RNW208" s="199"/>
      <c r="RNX208" s="199"/>
      <c r="RNY208" s="199"/>
      <c r="RNZ208" s="199"/>
      <c r="ROA208" s="199"/>
      <c r="ROB208" s="199"/>
      <c r="ROC208" s="199"/>
      <c r="ROD208" s="199"/>
      <c r="ROE208" s="199"/>
      <c r="ROF208" s="199"/>
      <c r="ROG208" s="199"/>
      <c r="ROH208" s="199"/>
      <c r="ROI208" s="199"/>
      <c r="ROJ208" s="199"/>
      <c r="ROK208" s="199"/>
      <c r="ROL208" s="199"/>
      <c r="ROM208" s="199"/>
      <c r="RON208" s="199"/>
      <c r="ROO208" s="199"/>
      <c r="ROP208" s="199"/>
      <c r="ROQ208" s="199"/>
      <c r="ROR208" s="199"/>
      <c r="ROS208" s="199"/>
      <c r="ROT208" s="199"/>
      <c r="ROU208" s="199"/>
      <c r="ROV208" s="199"/>
      <c r="ROW208" s="199"/>
      <c r="ROX208" s="199"/>
      <c r="ROY208" s="199"/>
      <c r="ROZ208" s="199"/>
      <c r="RPA208" s="199"/>
      <c r="RPB208" s="199"/>
      <c r="RPC208" s="199"/>
      <c r="RPD208" s="199"/>
      <c r="RPE208" s="199"/>
      <c r="RPF208" s="199"/>
      <c r="RPG208" s="199"/>
      <c r="RPH208" s="199"/>
      <c r="RPI208" s="199"/>
      <c r="RPJ208" s="199"/>
      <c r="RPK208" s="199"/>
      <c r="RPL208" s="199"/>
      <c r="RPM208" s="199"/>
      <c r="RPN208" s="199"/>
      <c r="RPO208" s="199"/>
      <c r="RPP208" s="199"/>
      <c r="RPQ208" s="199"/>
      <c r="RPR208" s="199"/>
      <c r="RPS208" s="199"/>
      <c r="RPT208" s="199"/>
      <c r="RPU208" s="199"/>
      <c r="RPV208" s="199"/>
      <c r="RPW208" s="199"/>
      <c r="RPX208" s="199"/>
      <c r="RPY208" s="199"/>
      <c r="RPZ208" s="199"/>
      <c r="RQA208" s="199"/>
      <c r="RQB208" s="199"/>
      <c r="RQC208" s="199"/>
      <c r="RQD208" s="199"/>
      <c r="RQE208" s="199"/>
      <c r="RQF208" s="199"/>
      <c r="RQG208" s="199"/>
      <c r="RQH208" s="199"/>
      <c r="RQI208" s="199"/>
      <c r="RQJ208" s="199"/>
      <c r="RQK208" s="199"/>
      <c r="RQL208" s="199"/>
      <c r="RQM208" s="199"/>
      <c r="RQN208" s="199"/>
      <c r="RQO208" s="199"/>
      <c r="RQP208" s="199"/>
      <c r="RQQ208" s="199"/>
      <c r="RQR208" s="199"/>
      <c r="RQS208" s="199"/>
      <c r="RQT208" s="199"/>
      <c r="RQU208" s="199"/>
      <c r="RQV208" s="199"/>
      <c r="RQW208" s="199"/>
      <c r="RQX208" s="199"/>
      <c r="RQY208" s="199"/>
      <c r="RQZ208" s="199"/>
      <c r="RRA208" s="199"/>
      <c r="RRB208" s="199"/>
      <c r="RRC208" s="199"/>
      <c r="RRD208" s="199"/>
      <c r="RRE208" s="199"/>
      <c r="RRF208" s="199"/>
      <c r="RRG208" s="199"/>
      <c r="RRH208" s="199"/>
      <c r="RRI208" s="199"/>
      <c r="RRJ208" s="199"/>
      <c r="RRK208" s="199"/>
      <c r="RRL208" s="199"/>
      <c r="RRM208" s="199"/>
      <c r="RRN208" s="199"/>
      <c r="RRO208" s="199"/>
      <c r="RRP208" s="199"/>
      <c r="RRQ208" s="199"/>
      <c r="RRR208" s="199"/>
      <c r="RRS208" s="199"/>
      <c r="RRT208" s="199"/>
      <c r="RRU208" s="199"/>
      <c r="RRV208" s="199"/>
      <c r="RRW208" s="199"/>
      <c r="RRX208" s="199"/>
      <c r="RRY208" s="199"/>
      <c r="RRZ208" s="199"/>
      <c r="RSA208" s="199"/>
      <c r="RSB208" s="199"/>
      <c r="RSC208" s="199"/>
      <c r="RSD208" s="199"/>
      <c r="RSE208" s="199"/>
      <c r="RSF208" s="199"/>
      <c r="RSG208" s="199"/>
      <c r="RSH208" s="199"/>
      <c r="RSI208" s="199"/>
      <c r="RSJ208" s="199"/>
      <c r="RSK208" s="199"/>
      <c r="RSL208" s="199"/>
      <c r="RSM208" s="199"/>
      <c r="RSN208" s="199"/>
      <c r="RSO208" s="199"/>
      <c r="RSP208" s="199"/>
      <c r="RSQ208" s="199"/>
      <c r="RSR208" s="199"/>
      <c r="RSS208" s="199"/>
      <c r="RST208" s="199"/>
      <c r="RSU208" s="199"/>
      <c r="RSV208" s="199"/>
      <c r="RSW208" s="199"/>
      <c r="RSX208" s="199"/>
      <c r="RSY208" s="199"/>
      <c r="RSZ208" s="199"/>
      <c r="RTA208" s="199"/>
      <c r="RTB208" s="199"/>
      <c r="RTC208" s="199"/>
      <c r="RTD208" s="199"/>
      <c r="RTE208" s="199"/>
      <c r="RTF208" s="199"/>
      <c r="RTG208" s="199"/>
      <c r="RTH208" s="199"/>
      <c r="RTI208" s="199"/>
      <c r="RTJ208" s="199"/>
      <c r="RTK208" s="199"/>
      <c r="RTL208" s="199"/>
    </row>
    <row r="209" spans="1:50" s="197" customFormat="1" ht="30.75" customHeight="1" x14ac:dyDescent="0.25">
      <c r="A209" s="198"/>
      <c r="B209" s="7"/>
      <c r="C209" s="543" t="s">
        <v>19</v>
      </c>
      <c r="D209" s="543"/>
      <c r="E209" s="543"/>
      <c r="F209" s="543"/>
      <c r="G209" s="543"/>
      <c r="H209" s="543"/>
      <c r="I209" s="543"/>
      <c r="J209" s="543"/>
      <c r="K209" s="543"/>
      <c r="L209" s="543"/>
      <c r="M209" s="540" t="s">
        <v>219</v>
      </c>
      <c r="N209" s="540"/>
      <c r="O209" s="540"/>
      <c r="P209" s="540"/>
      <c r="Q209" s="540"/>
      <c r="R209" s="540"/>
      <c r="S209" s="540"/>
      <c r="T209" s="540"/>
      <c r="U209" s="540"/>
      <c r="V209" s="540"/>
      <c r="W209" s="540"/>
      <c r="X209" s="540"/>
      <c r="Y209" s="540"/>
      <c r="Z209" s="540"/>
      <c r="AA209" s="540"/>
      <c r="AB209" s="540"/>
      <c r="AC209" s="540"/>
      <c r="AD209" s="540"/>
      <c r="AE209" s="540"/>
      <c r="AF209" s="540"/>
      <c r="AG209" s="540"/>
      <c r="AH209" s="540"/>
      <c r="AI209" s="540"/>
      <c r="AJ209" s="540"/>
      <c r="AK209" s="540"/>
      <c r="AL209" s="540"/>
      <c r="AM209" s="540"/>
      <c r="AN209" s="533">
        <f>VLOOKUP("УТ-00039732",'Выгрузка из 1С'!$B$4:$K$1989,10,FALSE)</f>
        <v>32940</v>
      </c>
      <c r="AO209" s="533"/>
      <c r="AP209" s="533"/>
      <c r="AQ209" s="533"/>
      <c r="AR209" s="533"/>
      <c r="AS209" s="533"/>
    </row>
    <row r="210" spans="1:50" s="197" customFormat="1" ht="30.75" customHeight="1" x14ac:dyDescent="0.25">
      <c r="A210" s="7"/>
      <c r="B210" s="7"/>
      <c r="C210" s="543" t="s">
        <v>20</v>
      </c>
      <c r="D210" s="543"/>
      <c r="E210" s="543"/>
      <c r="F210" s="543"/>
      <c r="G210" s="543"/>
      <c r="H210" s="543"/>
      <c r="I210" s="543"/>
      <c r="J210" s="543"/>
      <c r="K210" s="543"/>
      <c r="L210" s="543"/>
      <c r="M210" s="540" t="s">
        <v>10</v>
      </c>
      <c r="N210" s="540"/>
      <c r="O210" s="540"/>
      <c r="P210" s="540"/>
      <c r="Q210" s="540"/>
      <c r="R210" s="540"/>
      <c r="S210" s="540"/>
      <c r="T210" s="540"/>
      <c r="U210" s="540"/>
      <c r="V210" s="540"/>
      <c r="W210" s="540"/>
      <c r="X210" s="540"/>
      <c r="Y210" s="540"/>
      <c r="Z210" s="540"/>
      <c r="AA210" s="540"/>
      <c r="AB210" s="540"/>
      <c r="AC210" s="540"/>
      <c r="AD210" s="540"/>
      <c r="AE210" s="540"/>
      <c r="AF210" s="540"/>
      <c r="AG210" s="540"/>
      <c r="AH210" s="540"/>
      <c r="AI210" s="540"/>
      <c r="AJ210" s="540"/>
      <c r="AK210" s="540"/>
      <c r="AL210" s="540"/>
      <c r="AM210" s="540"/>
      <c r="AN210" s="533">
        <f>VLOOKUP("УТ-00039730",'Выгрузка из 1С'!$B$4:$K$1989,10,FALSE)</f>
        <v>63240</v>
      </c>
      <c r="AO210" s="533"/>
      <c r="AP210" s="533"/>
      <c r="AQ210" s="533"/>
      <c r="AR210" s="533"/>
      <c r="AS210" s="533"/>
    </row>
    <row r="211" spans="1:50" s="19" customFormat="1" x14ac:dyDescent="0.25">
      <c r="A211" s="170"/>
      <c r="B211" s="17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</row>
    <row r="212" spans="1:50" s="19" customFormat="1" x14ac:dyDescent="0.25">
      <c r="A212" s="170"/>
      <c r="B212" s="17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</row>
    <row r="213" spans="1:50" s="202" customFormat="1" ht="15.75" x14ac:dyDescent="0.25">
      <c r="A213" s="13"/>
      <c r="B213" s="13"/>
      <c r="C213" s="49" t="s">
        <v>64</v>
      </c>
      <c r="D213" s="250"/>
      <c r="E213" s="250"/>
      <c r="F213" s="250"/>
      <c r="G213" s="250"/>
      <c r="H213" s="250"/>
      <c r="I213" s="250"/>
      <c r="J213" s="250"/>
      <c r="K213" s="250"/>
      <c r="L213" s="250"/>
      <c r="M213" s="250"/>
      <c r="N213" s="250"/>
      <c r="O213" s="250"/>
      <c r="P213" s="250"/>
      <c r="Q213" s="250"/>
      <c r="R213" s="250"/>
      <c r="S213" s="250"/>
      <c r="T213" s="250"/>
      <c r="U213" s="250"/>
      <c r="V213" s="250"/>
      <c r="W213" s="250"/>
      <c r="X213" s="250"/>
      <c r="Y213" s="250"/>
      <c r="Z213" s="250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</row>
    <row r="214" spans="1:50" s="19" customFormat="1" ht="12.75" x14ac:dyDescent="0.2">
      <c r="A214" s="553"/>
      <c r="B214" s="171"/>
      <c r="C214" s="375" t="s">
        <v>35</v>
      </c>
      <c r="D214" s="375"/>
      <c r="E214" s="375"/>
      <c r="F214" s="375"/>
      <c r="G214" s="375"/>
      <c r="H214" s="375"/>
      <c r="I214" s="375" t="s">
        <v>31</v>
      </c>
      <c r="J214" s="375"/>
      <c r="K214" s="375"/>
      <c r="L214" s="375"/>
      <c r="M214" s="375"/>
      <c r="N214" s="375"/>
      <c r="O214" s="375" t="s">
        <v>102</v>
      </c>
      <c r="P214" s="375"/>
      <c r="Q214" s="375"/>
      <c r="R214" s="375"/>
      <c r="S214" s="375"/>
      <c r="T214" s="375"/>
      <c r="U214" s="375" t="s">
        <v>103</v>
      </c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554" t="s">
        <v>32</v>
      </c>
      <c r="AI214" s="554"/>
      <c r="AJ214" s="554"/>
      <c r="AK214" s="554"/>
      <c r="AL214" s="554"/>
      <c r="AM214" s="554"/>
      <c r="AN214" s="554"/>
      <c r="AO214" s="554"/>
      <c r="AP214" s="554"/>
      <c r="AQ214" s="554"/>
      <c r="AR214" s="554"/>
      <c r="AS214" s="554"/>
      <c r="AX214" s="178"/>
    </row>
    <row r="215" spans="1:50" s="200" customFormat="1" ht="12.75" x14ac:dyDescent="0.25">
      <c r="A215" s="553"/>
      <c r="B215" s="171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  <c r="O215" s="375"/>
      <c r="P215" s="375"/>
      <c r="Q215" s="375"/>
      <c r="R215" s="375"/>
      <c r="S215" s="375"/>
      <c r="T215" s="375"/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554" t="s">
        <v>33</v>
      </c>
      <c r="AI215" s="554"/>
      <c r="AJ215" s="554"/>
      <c r="AK215" s="554"/>
      <c r="AL215" s="554"/>
      <c r="AM215" s="554"/>
      <c r="AN215" s="554"/>
      <c r="AO215" s="554"/>
      <c r="AP215" s="554"/>
      <c r="AQ215" s="554"/>
      <c r="AR215" s="554"/>
      <c r="AS215" s="554"/>
      <c r="AX215" s="201"/>
    </row>
    <row r="216" spans="1:50" s="19" customFormat="1" ht="28.5" customHeight="1" x14ac:dyDescent="0.2">
      <c r="A216" s="553"/>
      <c r="B216" s="171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  <c r="O216" s="375"/>
      <c r="P216" s="375"/>
      <c r="Q216" s="375"/>
      <c r="R216" s="375"/>
      <c r="S216" s="375"/>
      <c r="T216" s="375"/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688" t="s">
        <v>34</v>
      </c>
      <c r="AI216" s="689"/>
      <c r="AJ216" s="689"/>
      <c r="AK216" s="689"/>
      <c r="AL216" s="689"/>
      <c r="AM216" s="690"/>
      <c r="AN216" s="691" t="s">
        <v>908</v>
      </c>
      <c r="AO216" s="692"/>
      <c r="AP216" s="692"/>
      <c r="AQ216" s="692"/>
      <c r="AR216" s="692"/>
      <c r="AS216" s="693"/>
      <c r="AX216" s="178"/>
    </row>
    <row r="217" spans="1:50" s="19" customFormat="1" ht="12.75" x14ac:dyDescent="0.2">
      <c r="A217" s="553"/>
      <c r="B217" s="268"/>
      <c r="C217" s="375">
        <v>15</v>
      </c>
      <c r="D217" s="375"/>
      <c r="E217" s="375"/>
      <c r="F217" s="375"/>
      <c r="G217" s="375"/>
      <c r="H217" s="375"/>
      <c r="I217" s="375" t="s">
        <v>36</v>
      </c>
      <c r="J217" s="375"/>
      <c r="K217" s="375"/>
      <c r="L217" s="375"/>
      <c r="M217" s="375"/>
      <c r="N217" s="375"/>
      <c r="O217" s="375">
        <v>0.45</v>
      </c>
      <c r="P217" s="375"/>
      <c r="Q217" s="375"/>
      <c r="R217" s="375"/>
      <c r="S217" s="375"/>
      <c r="T217" s="375"/>
      <c r="U217" s="375" t="s">
        <v>922</v>
      </c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4">
        <f>VLOOKUP("00-00180181",'Выгрузка из 1С'!$B$4:$K$1989,10,FALSE)</f>
        <v>56268</v>
      </c>
      <c r="AI217" s="385"/>
      <c r="AJ217" s="385"/>
      <c r="AK217" s="385"/>
      <c r="AL217" s="385"/>
      <c r="AM217" s="386"/>
      <c r="AN217" s="384" t="s">
        <v>249</v>
      </c>
      <c r="AO217" s="385"/>
      <c r="AP217" s="385"/>
      <c r="AQ217" s="385"/>
      <c r="AR217" s="385"/>
      <c r="AS217" s="386"/>
      <c r="AX217" s="178"/>
    </row>
    <row r="218" spans="1:50" s="19" customFormat="1" ht="12.75" x14ac:dyDescent="0.2">
      <c r="A218" s="553"/>
      <c r="B218" s="268"/>
      <c r="C218" s="375"/>
      <c r="D218" s="375"/>
      <c r="E218" s="375"/>
      <c r="F218" s="375"/>
      <c r="G218" s="375"/>
      <c r="H218" s="375"/>
      <c r="I218" s="375" t="s">
        <v>37</v>
      </c>
      <c r="J218" s="375"/>
      <c r="K218" s="375"/>
      <c r="L218" s="375"/>
      <c r="M218" s="375"/>
      <c r="N218" s="375"/>
      <c r="O218" s="375"/>
      <c r="P218" s="375"/>
      <c r="Q218" s="375"/>
      <c r="R218" s="375"/>
      <c r="S218" s="375"/>
      <c r="T218" s="375"/>
      <c r="U218" s="375" t="s">
        <v>923</v>
      </c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4">
        <f>VLOOKUP("00-00180159",'Выгрузка из 1С'!$B$4:$K$1989,10,FALSE)</f>
        <v>44424</v>
      </c>
      <c r="AI218" s="385"/>
      <c r="AJ218" s="385"/>
      <c r="AK218" s="385"/>
      <c r="AL218" s="385"/>
      <c r="AM218" s="386"/>
      <c r="AN218" s="384" t="s">
        <v>249</v>
      </c>
      <c r="AO218" s="385"/>
      <c r="AP218" s="385"/>
      <c r="AQ218" s="385"/>
      <c r="AR218" s="385"/>
      <c r="AS218" s="386"/>
      <c r="AX218" s="178"/>
    </row>
    <row r="219" spans="1:50" s="19" customFormat="1" ht="12.75" x14ac:dyDescent="0.2">
      <c r="A219" s="553"/>
      <c r="B219" s="268"/>
      <c r="C219" s="375"/>
      <c r="D219" s="375"/>
      <c r="E219" s="375"/>
      <c r="F219" s="375"/>
      <c r="G219" s="375"/>
      <c r="H219" s="375"/>
      <c r="I219" s="375" t="s">
        <v>38</v>
      </c>
      <c r="J219" s="375"/>
      <c r="K219" s="375"/>
      <c r="L219" s="375"/>
      <c r="M219" s="375"/>
      <c r="N219" s="375"/>
      <c r="O219" s="375"/>
      <c r="P219" s="375"/>
      <c r="Q219" s="375"/>
      <c r="R219" s="375"/>
      <c r="S219" s="375"/>
      <c r="T219" s="375"/>
      <c r="U219" s="375" t="s">
        <v>924</v>
      </c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4">
        <f>VLOOKUP("00-00180157",'Выгрузка из 1С'!$B$4:$K$1989,10,FALSE)</f>
        <v>42300</v>
      </c>
      <c r="AI219" s="385"/>
      <c r="AJ219" s="385"/>
      <c r="AK219" s="385"/>
      <c r="AL219" s="385"/>
      <c r="AM219" s="386"/>
      <c r="AN219" s="384" t="s">
        <v>249</v>
      </c>
      <c r="AO219" s="385"/>
      <c r="AP219" s="385"/>
      <c r="AQ219" s="385"/>
      <c r="AR219" s="385"/>
      <c r="AS219" s="386"/>
      <c r="AX219" s="178"/>
    </row>
    <row r="220" spans="1:50" s="19" customFormat="1" ht="12.75" x14ac:dyDescent="0.2">
      <c r="A220" s="553"/>
      <c r="B220" s="171"/>
      <c r="C220" s="375">
        <v>20</v>
      </c>
      <c r="D220" s="375"/>
      <c r="E220" s="375"/>
      <c r="F220" s="375"/>
      <c r="G220" s="375"/>
      <c r="H220" s="375"/>
      <c r="I220" s="375" t="s">
        <v>36</v>
      </c>
      <c r="J220" s="375"/>
      <c r="K220" s="375"/>
      <c r="L220" s="375"/>
      <c r="M220" s="375"/>
      <c r="N220" s="375"/>
      <c r="O220" s="375">
        <v>0.5</v>
      </c>
      <c r="P220" s="375"/>
      <c r="Q220" s="375"/>
      <c r="R220" s="375"/>
      <c r="S220" s="375"/>
      <c r="T220" s="375"/>
      <c r="U220" s="375" t="s">
        <v>39</v>
      </c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4">
        <f>VLOOKUP("УТ-00041137",'Выгрузка из 1С'!$B$4:$K$1989,10,FALSE)</f>
        <v>63768</v>
      </c>
      <c r="AI220" s="385"/>
      <c r="AJ220" s="385"/>
      <c r="AK220" s="385"/>
      <c r="AL220" s="385"/>
      <c r="AM220" s="386"/>
      <c r="AN220" s="384">
        <f>VLOOKUP("УТ-00041117",'Выгрузка из 1С'!$B$4:$K$1989,10,FALSE)</f>
        <v>46608</v>
      </c>
      <c r="AO220" s="385"/>
      <c r="AP220" s="385"/>
      <c r="AQ220" s="385"/>
      <c r="AR220" s="385"/>
      <c r="AS220" s="386"/>
      <c r="AX220" s="178"/>
    </row>
    <row r="221" spans="1:50" s="19" customFormat="1" ht="12.75" x14ac:dyDescent="0.2">
      <c r="A221" s="553"/>
      <c r="B221" s="171"/>
      <c r="C221" s="375"/>
      <c r="D221" s="375"/>
      <c r="E221" s="375"/>
      <c r="F221" s="375"/>
      <c r="G221" s="375"/>
      <c r="H221" s="375"/>
      <c r="I221" s="375" t="s">
        <v>37</v>
      </c>
      <c r="J221" s="375"/>
      <c r="K221" s="375"/>
      <c r="L221" s="375"/>
      <c r="M221" s="375"/>
      <c r="N221" s="375"/>
      <c r="O221" s="375"/>
      <c r="P221" s="375"/>
      <c r="Q221" s="375"/>
      <c r="R221" s="375"/>
      <c r="S221" s="375"/>
      <c r="T221" s="375"/>
      <c r="U221" s="375" t="s">
        <v>40</v>
      </c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4">
        <f>VLOOKUP("УТ-00041112",'Выгрузка из 1С'!$B$4:$K$1989,10,FALSE)</f>
        <v>50340</v>
      </c>
      <c r="AI221" s="385"/>
      <c r="AJ221" s="385"/>
      <c r="AK221" s="385"/>
      <c r="AL221" s="385"/>
      <c r="AM221" s="386"/>
      <c r="AN221" s="384">
        <f>VLOOKUP("УТ-00041119",'Выгрузка из 1С'!$B$4:$K$1989,10,FALSE)</f>
        <v>36792</v>
      </c>
      <c r="AO221" s="385"/>
      <c r="AP221" s="385"/>
      <c r="AQ221" s="385"/>
      <c r="AR221" s="385"/>
      <c r="AS221" s="386"/>
      <c r="AX221" s="178"/>
    </row>
    <row r="222" spans="1:50" s="19" customFormat="1" ht="12.75" x14ac:dyDescent="0.2">
      <c r="A222" s="553"/>
      <c r="B222" s="171"/>
      <c r="C222" s="375"/>
      <c r="D222" s="375"/>
      <c r="E222" s="375"/>
      <c r="F222" s="375"/>
      <c r="G222" s="375"/>
      <c r="H222" s="375"/>
      <c r="I222" s="375" t="s">
        <v>38</v>
      </c>
      <c r="J222" s="375"/>
      <c r="K222" s="375"/>
      <c r="L222" s="375"/>
      <c r="M222" s="375"/>
      <c r="N222" s="375"/>
      <c r="O222" s="375"/>
      <c r="P222" s="375"/>
      <c r="Q222" s="375"/>
      <c r="R222" s="375"/>
      <c r="S222" s="375"/>
      <c r="T222" s="375"/>
      <c r="U222" s="375" t="s">
        <v>41</v>
      </c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4">
        <f>VLOOKUP("УТ-00041113",'Выгрузка из 1С'!$B$4:$K$1989,10,FALSE)</f>
        <v>47940</v>
      </c>
      <c r="AI222" s="385"/>
      <c r="AJ222" s="385"/>
      <c r="AK222" s="385"/>
      <c r="AL222" s="385"/>
      <c r="AM222" s="386"/>
      <c r="AN222" s="384">
        <f>VLOOKUP("УТ-00041120",'Выгрузка из 1С'!$B$4:$K$1989,10,FALSE)</f>
        <v>35040</v>
      </c>
      <c r="AO222" s="385"/>
      <c r="AP222" s="385"/>
      <c r="AQ222" s="385"/>
      <c r="AR222" s="385"/>
      <c r="AS222" s="386"/>
      <c r="AX222" s="178"/>
    </row>
    <row r="223" spans="1:50" s="19" customFormat="1" ht="12.75" x14ac:dyDescent="0.2">
      <c r="A223" s="553"/>
      <c r="B223" s="268"/>
      <c r="C223" s="375">
        <v>25</v>
      </c>
      <c r="D223" s="375"/>
      <c r="E223" s="375"/>
      <c r="F223" s="375"/>
      <c r="G223" s="375"/>
      <c r="H223" s="375"/>
      <c r="I223" s="375" t="s">
        <v>36</v>
      </c>
      <c r="J223" s="375"/>
      <c r="K223" s="375"/>
      <c r="L223" s="375"/>
      <c r="M223" s="375"/>
      <c r="N223" s="375"/>
      <c r="O223" s="375">
        <v>0.75</v>
      </c>
      <c r="P223" s="375"/>
      <c r="Q223" s="375"/>
      <c r="R223" s="375"/>
      <c r="S223" s="375"/>
      <c r="T223" s="375"/>
      <c r="U223" s="375" t="s">
        <v>918</v>
      </c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4">
        <f>VLOOKUP("00-00180217",'Выгрузка из 1С'!$B$4:$K$1989,10,FALSE)</f>
        <v>66564</v>
      </c>
      <c r="AI223" s="385"/>
      <c r="AJ223" s="385"/>
      <c r="AK223" s="385"/>
      <c r="AL223" s="385"/>
      <c r="AM223" s="386"/>
      <c r="AN223" s="384" t="s">
        <v>249</v>
      </c>
      <c r="AO223" s="385"/>
      <c r="AP223" s="385"/>
      <c r="AQ223" s="385"/>
      <c r="AR223" s="385"/>
      <c r="AS223" s="386"/>
      <c r="AX223" s="178"/>
    </row>
    <row r="224" spans="1:50" s="19" customFormat="1" ht="12.75" x14ac:dyDescent="0.2">
      <c r="A224" s="553"/>
      <c r="B224" s="268"/>
      <c r="C224" s="375"/>
      <c r="D224" s="375"/>
      <c r="E224" s="375"/>
      <c r="F224" s="375"/>
      <c r="G224" s="375"/>
      <c r="H224" s="375"/>
      <c r="I224" s="375" t="s">
        <v>37</v>
      </c>
      <c r="J224" s="375"/>
      <c r="K224" s="375"/>
      <c r="L224" s="375"/>
      <c r="M224" s="375"/>
      <c r="N224" s="375"/>
      <c r="O224" s="375"/>
      <c r="P224" s="375"/>
      <c r="Q224" s="375"/>
      <c r="R224" s="375"/>
      <c r="S224" s="375"/>
      <c r="T224" s="375"/>
      <c r="U224" s="375" t="s">
        <v>919</v>
      </c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4">
        <f>VLOOKUP("00-00180195",'Выгрузка из 1С'!$B$4:$K$1989,10,FALSE)</f>
        <v>52548</v>
      </c>
      <c r="AI224" s="385"/>
      <c r="AJ224" s="385"/>
      <c r="AK224" s="385"/>
      <c r="AL224" s="385"/>
      <c r="AM224" s="386"/>
      <c r="AN224" s="384" t="s">
        <v>249</v>
      </c>
      <c r="AO224" s="385"/>
      <c r="AP224" s="385"/>
      <c r="AQ224" s="385"/>
      <c r="AR224" s="385"/>
      <c r="AS224" s="386"/>
      <c r="AX224" s="178"/>
    </row>
    <row r="225" spans="1:50" s="19" customFormat="1" ht="12.75" x14ac:dyDescent="0.2">
      <c r="A225" s="553"/>
      <c r="B225" s="268"/>
      <c r="C225" s="375"/>
      <c r="D225" s="375"/>
      <c r="E225" s="375"/>
      <c r="F225" s="375"/>
      <c r="G225" s="375"/>
      <c r="H225" s="375"/>
      <c r="I225" s="375" t="s">
        <v>38</v>
      </c>
      <c r="J225" s="375"/>
      <c r="K225" s="375"/>
      <c r="L225" s="375"/>
      <c r="M225" s="375"/>
      <c r="N225" s="375"/>
      <c r="O225" s="375"/>
      <c r="P225" s="375"/>
      <c r="Q225" s="375"/>
      <c r="R225" s="375"/>
      <c r="S225" s="375"/>
      <c r="T225" s="375"/>
      <c r="U225" s="375" t="s">
        <v>920</v>
      </c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4">
        <f>VLOOKUP("00-00180193",'Выгрузка из 1С'!$B$4:$K$1989,10,FALSE)</f>
        <v>50040</v>
      </c>
      <c r="AI225" s="385"/>
      <c r="AJ225" s="385"/>
      <c r="AK225" s="385"/>
      <c r="AL225" s="385"/>
      <c r="AM225" s="386"/>
      <c r="AN225" s="384" t="s">
        <v>249</v>
      </c>
      <c r="AO225" s="385"/>
      <c r="AP225" s="385"/>
      <c r="AQ225" s="385"/>
      <c r="AR225" s="385"/>
      <c r="AS225" s="386"/>
      <c r="AX225" s="178"/>
    </row>
    <row r="226" spans="1:50" s="19" customFormat="1" ht="12.75" x14ac:dyDescent="0.2">
      <c r="A226" s="553"/>
      <c r="B226" s="171"/>
      <c r="C226" s="375">
        <v>32</v>
      </c>
      <c r="D226" s="375"/>
      <c r="E226" s="375"/>
      <c r="F226" s="375"/>
      <c r="G226" s="375"/>
      <c r="H226" s="375"/>
      <c r="I226" s="375" t="s">
        <v>36</v>
      </c>
      <c r="J226" s="375"/>
      <c r="K226" s="375"/>
      <c r="L226" s="375"/>
      <c r="M226" s="375"/>
      <c r="N226" s="375"/>
      <c r="O226" s="375">
        <v>1</v>
      </c>
      <c r="P226" s="375"/>
      <c r="Q226" s="375"/>
      <c r="R226" s="375"/>
      <c r="S226" s="375"/>
      <c r="T226" s="375"/>
      <c r="U226" s="375" t="s">
        <v>42</v>
      </c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4">
        <f>VLOOKUP("УТ-00040238",'Выгрузка из 1С'!$B$4:$K$1989,10,FALSE)</f>
        <v>69108</v>
      </c>
      <c r="AI226" s="385"/>
      <c r="AJ226" s="385"/>
      <c r="AK226" s="385"/>
      <c r="AL226" s="385"/>
      <c r="AM226" s="386"/>
      <c r="AN226" s="384">
        <f>VLOOKUP("УТ-00040219",'Выгрузка из 1С'!$B$4:$K$1989,10,FALSE)</f>
        <v>51792</v>
      </c>
      <c r="AO226" s="385"/>
      <c r="AP226" s="385"/>
      <c r="AQ226" s="385"/>
      <c r="AR226" s="385"/>
      <c r="AS226" s="386"/>
      <c r="AX226" s="178"/>
    </row>
    <row r="227" spans="1:50" s="19" customFormat="1" ht="12.75" x14ac:dyDescent="0.2">
      <c r="A227" s="553"/>
      <c r="B227" s="171"/>
      <c r="C227" s="375"/>
      <c r="D227" s="375"/>
      <c r="E227" s="375"/>
      <c r="F227" s="375"/>
      <c r="G227" s="375"/>
      <c r="H227" s="375"/>
      <c r="I227" s="375" t="s">
        <v>37</v>
      </c>
      <c r="J227" s="375"/>
      <c r="K227" s="375"/>
      <c r="L227" s="375"/>
      <c r="M227" s="375"/>
      <c r="N227" s="375"/>
      <c r="O227" s="375"/>
      <c r="P227" s="375"/>
      <c r="Q227" s="375"/>
      <c r="R227" s="375"/>
      <c r="S227" s="375"/>
      <c r="T227" s="375"/>
      <c r="U227" s="375" t="s">
        <v>43</v>
      </c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4">
        <f>VLOOKUP("УТ-00040239",'Выгрузка из 1С'!$B$4:$K$1989,10,FALSE)</f>
        <v>54564</v>
      </c>
      <c r="AI227" s="385"/>
      <c r="AJ227" s="385"/>
      <c r="AK227" s="385"/>
      <c r="AL227" s="385"/>
      <c r="AM227" s="386"/>
      <c r="AN227" s="384">
        <f>VLOOKUP("УТ-00040220",'Выгрузка из 1С'!$B$4:$K$1989,10,FALSE)</f>
        <v>40896</v>
      </c>
      <c r="AO227" s="385"/>
      <c r="AP227" s="385"/>
      <c r="AQ227" s="385"/>
      <c r="AR227" s="385"/>
      <c r="AS227" s="386"/>
      <c r="AX227" s="178"/>
    </row>
    <row r="228" spans="1:50" s="19" customFormat="1" ht="12.75" x14ac:dyDescent="0.2">
      <c r="A228" s="553"/>
      <c r="B228" s="171"/>
      <c r="C228" s="375"/>
      <c r="D228" s="375"/>
      <c r="E228" s="375"/>
      <c r="F228" s="375"/>
      <c r="G228" s="375"/>
      <c r="H228" s="375"/>
      <c r="I228" s="375" t="s">
        <v>38</v>
      </c>
      <c r="J228" s="375"/>
      <c r="K228" s="375"/>
      <c r="L228" s="375"/>
      <c r="M228" s="375"/>
      <c r="N228" s="375"/>
      <c r="O228" s="375"/>
      <c r="P228" s="375"/>
      <c r="Q228" s="375"/>
      <c r="R228" s="375"/>
      <c r="S228" s="375"/>
      <c r="T228" s="375"/>
      <c r="U228" s="375" t="s">
        <v>44</v>
      </c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4">
        <f>VLOOKUP("УТ-00040240",'Выгрузка из 1С'!$B$4:$K$1989,10,FALSE)</f>
        <v>51960</v>
      </c>
      <c r="AI228" s="385"/>
      <c r="AJ228" s="385"/>
      <c r="AK228" s="385"/>
      <c r="AL228" s="385"/>
      <c r="AM228" s="386"/>
      <c r="AN228" s="384">
        <f>VLOOKUP("УТ-00040221",'Выгрузка из 1С'!$B$4:$K$1989,10,FALSE)</f>
        <v>38940</v>
      </c>
      <c r="AO228" s="385"/>
      <c r="AP228" s="385"/>
      <c r="AQ228" s="385"/>
      <c r="AR228" s="385"/>
      <c r="AS228" s="386"/>
      <c r="AX228" s="178"/>
    </row>
    <row r="229" spans="1:50" s="19" customFormat="1" ht="12.75" x14ac:dyDescent="0.2">
      <c r="A229" s="553"/>
      <c r="B229" s="171"/>
      <c r="C229" s="375">
        <v>40</v>
      </c>
      <c r="D229" s="375"/>
      <c r="E229" s="375"/>
      <c r="F229" s="375"/>
      <c r="G229" s="375"/>
      <c r="H229" s="375"/>
      <c r="I229" s="375" t="s">
        <v>36</v>
      </c>
      <c r="J229" s="375"/>
      <c r="K229" s="375"/>
      <c r="L229" s="375"/>
      <c r="M229" s="375"/>
      <c r="N229" s="375"/>
      <c r="O229" s="375">
        <v>2.5</v>
      </c>
      <c r="P229" s="375"/>
      <c r="Q229" s="375"/>
      <c r="R229" s="375"/>
      <c r="S229" s="375"/>
      <c r="T229" s="375"/>
      <c r="U229" s="375" t="s">
        <v>45</v>
      </c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4">
        <f>VLOOKUP("УТ-00041194",'Выгрузка из 1С'!$B$4:$K$1989,10,FALSE)</f>
        <v>72228</v>
      </c>
      <c r="AI229" s="385"/>
      <c r="AJ229" s="385"/>
      <c r="AK229" s="385"/>
      <c r="AL229" s="385"/>
      <c r="AM229" s="386"/>
      <c r="AN229" s="384">
        <f>VLOOKUP("00-00180466",'Выгрузка из 1С'!$B$4:$K$1989,10,FALSE)</f>
        <v>56340</v>
      </c>
      <c r="AO229" s="385"/>
      <c r="AP229" s="385"/>
      <c r="AQ229" s="385"/>
      <c r="AR229" s="385"/>
      <c r="AS229" s="386"/>
      <c r="AX229" s="178"/>
    </row>
    <row r="230" spans="1:50" s="19" customFormat="1" ht="12.75" x14ac:dyDescent="0.2">
      <c r="A230" s="553"/>
      <c r="B230" s="171"/>
      <c r="C230" s="375"/>
      <c r="D230" s="375"/>
      <c r="E230" s="375"/>
      <c r="F230" s="375"/>
      <c r="G230" s="375"/>
      <c r="H230" s="375"/>
      <c r="I230" s="375" t="s">
        <v>37</v>
      </c>
      <c r="J230" s="375"/>
      <c r="K230" s="375"/>
      <c r="L230" s="375"/>
      <c r="M230" s="375"/>
      <c r="N230" s="375"/>
      <c r="O230" s="375"/>
      <c r="P230" s="375"/>
      <c r="Q230" s="375"/>
      <c r="R230" s="375"/>
      <c r="S230" s="375"/>
      <c r="T230" s="375"/>
      <c r="U230" s="375" t="s">
        <v>46</v>
      </c>
      <c r="V230" s="375"/>
      <c r="W230" s="375"/>
      <c r="X230" s="37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4">
        <f>VLOOKUP("УТ-00041195",'Выгрузка из 1С'!$B$4:$K$1989,10,FALSE)</f>
        <v>57024</v>
      </c>
      <c r="AI230" s="385"/>
      <c r="AJ230" s="385"/>
      <c r="AK230" s="385"/>
      <c r="AL230" s="385"/>
      <c r="AM230" s="386"/>
      <c r="AN230" s="384">
        <f>VLOOKUP("00-00180454",'Выгрузка из 1С'!$B$4:$K$1989,10,FALSE)</f>
        <v>44484</v>
      </c>
      <c r="AO230" s="385"/>
      <c r="AP230" s="385"/>
      <c r="AQ230" s="385"/>
      <c r="AR230" s="385"/>
      <c r="AS230" s="386"/>
      <c r="AX230" s="178"/>
    </row>
    <row r="231" spans="1:50" s="19" customFormat="1" ht="12.75" x14ac:dyDescent="0.2">
      <c r="A231" s="553"/>
      <c r="B231" s="171"/>
      <c r="C231" s="375"/>
      <c r="D231" s="375"/>
      <c r="E231" s="375"/>
      <c r="F231" s="375"/>
      <c r="G231" s="375"/>
      <c r="H231" s="375"/>
      <c r="I231" s="375" t="s">
        <v>38</v>
      </c>
      <c r="J231" s="375"/>
      <c r="K231" s="375"/>
      <c r="L231" s="375"/>
      <c r="M231" s="375"/>
      <c r="N231" s="375"/>
      <c r="O231" s="375"/>
      <c r="P231" s="375"/>
      <c r="Q231" s="375"/>
      <c r="R231" s="375"/>
      <c r="S231" s="375"/>
      <c r="T231" s="375"/>
      <c r="U231" s="375" t="s">
        <v>47</v>
      </c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4">
        <f>VLOOKUP("УТ-00041196",'Выгрузка из 1С'!$B$4:$K$1989,10,FALSE)</f>
        <v>54300</v>
      </c>
      <c r="AI231" s="385"/>
      <c r="AJ231" s="385"/>
      <c r="AK231" s="385"/>
      <c r="AL231" s="385"/>
      <c r="AM231" s="386"/>
      <c r="AN231" s="384">
        <f>VLOOKUP("00-00180442",'Выгрузка из 1С'!$B$4:$K$1989,10,FALSE)</f>
        <v>42360</v>
      </c>
      <c r="AO231" s="385"/>
      <c r="AP231" s="385"/>
      <c r="AQ231" s="385"/>
      <c r="AR231" s="385"/>
      <c r="AS231" s="386"/>
      <c r="AX231" s="178"/>
    </row>
    <row r="232" spans="1:50" s="19" customFormat="1" ht="12.75" x14ac:dyDescent="0.2">
      <c r="A232" s="553"/>
      <c r="B232" s="171"/>
      <c r="C232" s="375">
        <v>50</v>
      </c>
      <c r="D232" s="375"/>
      <c r="E232" s="375"/>
      <c r="F232" s="375"/>
      <c r="G232" s="375"/>
      <c r="H232" s="375"/>
      <c r="I232" s="375" t="s">
        <v>36</v>
      </c>
      <c r="J232" s="375"/>
      <c r="K232" s="375"/>
      <c r="L232" s="375"/>
      <c r="M232" s="375"/>
      <c r="N232" s="375"/>
      <c r="O232" s="375">
        <v>2.5</v>
      </c>
      <c r="P232" s="375"/>
      <c r="Q232" s="375"/>
      <c r="R232" s="375"/>
      <c r="S232" s="375"/>
      <c r="T232" s="375"/>
      <c r="U232" s="375" t="s">
        <v>48</v>
      </c>
      <c r="V232" s="375"/>
      <c r="W232" s="375"/>
      <c r="X232" s="375"/>
      <c r="Y232" s="375"/>
      <c r="Z232" s="375"/>
      <c r="AA232" s="375"/>
      <c r="AB232" s="375"/>
      <c r="AC232" s="375"/>
      <c r="AD232" s="375"/>
      <c r="AE232" s="375"/>
      <c r="AF232" s="375"/>
      <c r="AG232" s="375"/>
      <c r="AH232" s="384">
        <f>VLOOKUP("УТ-00040294",'Выгрузка из 1С'!$B$4:$K$1989,10,FALSE)</f>
        <v>75816</v>
      </c>
      <c r="AI232" s="385"/>
      <c r="AJ232" s="385"/>
      <c r="AK232" s="385"/>
      <c r="AL232" s="385"/>
      <c r="AM232" s="386"/>
      <c r="AN232" s="384">
        <f>VLOOKUP("УТ-00040275",'Выгрузка из 1С'!$B$4:$K$1989,10,FALSE)</f>
        <v>59292</v>
      </c>
      <c r="AO232" s="385"/>
      <c r="AP232" s="385"/>
      <c r="AQ232" s="385"/>
      <c r="AR232" s="385"/>
      <c r="AS232" s="386"/>
      <c r="AX232" s="178"/>
    </row>
    <row r="233" spans="1:50" s="19" customFormat="1" ht="12.75" x14ac:dyDescent="0.2">
      <c r="A233" s="553"/>
      <c r="B233" s="171"/>
      <c r="C233" s="375"/>
      <c r="D233" s="375"/>
      <c r="E233" s="375"/>
      <c r="F233" s="375"/>
      <c r="G233" s="375"/>
      <c r="H233" s="375"/>
      <c r="I233" s="375" t="s">
        <v>37</v>
      </c>
      <c r="J233" s="375"/>
      <c r="K233" s="375"/>
      <c r="L233" s="375"/>
      <c r="M233" s="375"/>
      <c r="N233" s="375"/>
      <c r="O233" s="375"/>
      <c r="P233" s="375"/>
      <c r="Q233" s="375"/>
      <c r="R233" s="375"/>
      <c r="S233" s="375"/>
      <c r="T233" s="375"/>
      <c r="U233" s="375" t="s">
        <v>49</v>
      </c>
      <c r="V233" s="375"/>
      <c r="W233" s="375"/>
      <c r="X233" s="375"/>
      <c r="Y233" s="375"/>
      <c r="Z233" s="375"/>
      <c r="AA233" s="375"/>
      <c r="AB233" s="375"/>
      <c r="AC233" s="375"/>
      <c r="AD233" s="375"/>
      <c r="AE233" s="375"/>
      <c r="AF233" s="375"/>
      <c r="AG233" s="375"/>
      <c r="AH233" s="384">
        <f>VLOOKUP("УТ-00040295",'Выгрузка из 1С'!$B$4:$K$1989,10,FALSE)</f>
        <v>59856</v>
      </c>
      <c r="AI233" s="385"/>
      <c r="AJ233" s="385"/>
      <c r="AK233" s="385"/>
      <c r="AL233" s="385"/>
      <c r="AM233" s="386"/>
      <c r="AN233" s="384">
        <f>VLOOKUP("УТ-00040276",'Выгрузка из 1С'!$B$4:$K$1989,10,FALSE)</f>
        <v>46812</v>
      </c>
      <c r="AO233" s="385"/>
      <c r="AP233" s="385"/>
      <c r="AQ233" s="385"/>
      <c r="AR233" s="385"/>
      <c r="AS233" s="386"/>
      <c r="AX233" s="178"/>
    </row>
    <row r="234" spans="1:50" s="19" customFormat="1" ht="12.75" x14ac:dyDescent="0.2">
      <c r="A234" s="553"/>
      <c r="B234" s="171"/>
      <c r="C234" s="375"/>
      <c r="D234" s="375"/>
      <c r="E234" s="375"/>
      <c r="F234" s="375"/>
      <c r="G234" s="375"/>
      <c r="H234" s="375"/>
      <c r="I234" s="375" t="s">
        <v>38</v>
      </c>
      <c r="J234" s="375"/>
      <c r="K234" s="375"/>
      <c r="L234" s="375"/>
      <c r="M234" s="375"/>
      <c r="N234" s="375"/>
      <c r="O234" s="375"/>
      <c r="P234" s="375"/>
      <c r="Q234" s="375"/>
      <c r="R234" s="375"/>
      <c r="S234" s="375"/>
      <c r="T234" s="375"/>
      <c r="U234" s="375" t="s">
        <v>50</v>
      </c>
      <c r="V234" s="375"/>
      <c r="W234" s="375"/>
      <c r="X234" s="375"/>
      <c r="Y234" s="375"/>
      <c r="Z234" s="375"/>
      <c r="AA234" s="375"/>
      <c r="AB234" s="375"/>
      <c r="AC234" s="375"/>
      <c r="AD234" s="375"/>
      <c r="AE234" s="375"/>
      <c r="AF234" s="375"/>
      <c r="AG234" s="375"/>
      <c r="AH234" s="384">
        <f>VLOOKUP("УТ-00040296",'Выгрузка из 1С'!$B$4:$K$1989,10,FALSE)</f>
        <v>57000</v>
      </c>
      <c r="AI234" s="385"/>
      <c r="AJ234" s="385"/>
      <c r="AK234" s="385"/>
      <c r="AL234" s="385"/>
      <c r="AM234" s="386"/>
      <c r="AN234" s="384">
        <f>VLOOKUP("УТ-00040277",'Выгрузка из 1С'!$B$4:$K$1989,10,FALSE)</f>
        <v>44580</v>
      </c>
      <c r="AO234" s="385"/>
      <c r="AP234" s="385"/>
      <c r="AQ234" s="385"/>
      <c r="AR234" s="385"/>
      <c r="AS234" s="386"/>
      <c r="AX234" s="178"/>
    </row>
    <row r="235" spans="1:50" s="19" customFormat="1" ht="12.75" x14ac:dyDescent="0.2">
      <c r="A235" s="553"/>
      <c r="B235" s="171"/>
      <c r="C235" s="375">
        <v>65</v>
      </c>
      <c r="D235" s="375"/>
      <c r="E235" s="375"/>
      <c r="F235" s="375"/>
      <c r="G235" s="375"/>
      <c r="H235" s="375"/>
      <c r="I235" s="375" t="s">
        <v>36</v>
      </c>
      <c r="J235" s="375"/>
      <c r="K235" s="375"/>
      <c r="L235" s="375"/>
      <c r="M235" s="375"/>
      <c r="N235" s="375"/>
      <c r="O235" s="375">
        <v>5</v>
      </c>
      <c r="P235" s="375"/>
      <c r="Q235" s="375"/>
      <c r="R235" s="375"/>
      <c r="S235" s="375"/>
      <c r="T235" s="375"/>
      <c r="U235" s="375" t="s">
        <v>51</v>
      </c>
      <c r="V235" s="375"/>
      <c r="W235" s="375"/>
      <c r="X235" s="375"/>
      <c r="Y235" s="375"/>
      <c r="Z235" s="375"/>
      <c r="AA235" s="375"/>
      <c r="AB235" s="375"/>
      <c r="AC235" s="375"/>
      <c r="AD235" s="375"/>
      <c r="AE235" s="375"/>
      <c r="AF235" s="375"/>
      <c r="AG235" s="375"/>
      <c r="AH235" s="384">
        <f>VLOOKUP("УТ-00041248",'Выгрузка из 1С'!$B$4:$K$1989,10,FALSE)</f>
        <v>87312</v>
      </c>
      <c r="AI235" s="385"/>
      <c r="AJ235" s="385"/>
      <c r="AK235" s="385"/>
      <c r="AL235" s="385"/>
      <c r="AM235" s="386"/>
      <c r="AN235" s="384">
        <f>VLOOKUP("00-00180503",'Выгрузка из 1С'!$B$4:$K$1989,10,FALSE)</f>
        <v>68796</v>
      </c>
      <c r="AO235" s="385"/>
      <c r="AP235" s="385"/>
      <c r="AQ235" s="385"/>
      <c r="AR235" s="385"/>
      <c r="AS235" s="386"/>
      <c r="AX235" s="178"/>
    </row>
    <row r="236" spans="1:50" s="19" customFormat="1" ht="12.75" x14ac:dyDescent="0.2">
      <c r="A236" s="553"/>
      <c r="B236" s="171"/>
      <c r="C236" s="375"/>
      <c r="D236" s="375"/>
      <c r="E236" s="375"/>
      <c r="F236" s="375"/>
      <c r="G236" s="375"/>
      <c r="H236" s="375"/>
      <c r="I236" s="375" t="s">
        <v>37</v>
      </c>
      <c r="J236" s="375"/>
      <c r="K236" s="375"/>
      <c r="L236" s="375"/>
      <c r="M236" s="375"/>
      <c r="N236" s="375"/>
      <c r="O236" s="375"/>
      <c r="P236" s="375"/>
      <c r="Q236" s="375"/>
      <c r="R236" s="375"/>
      <c r="S236" s="375"/>
      <c r="T236" s="375"/>
      <c r="U236" s="375" t="s">
        <v>52</v>
      </c>
      <c r="V236" s="375"/>
      <c r="W236" s="375"/>
      <c r="X236" s="375"/>
      <c r="Y236" s="375"/>
      <c r="Z236" s="375"/>
      <c r="AA236" s="375"/>
      <c r="AB236" s="375"/>
      <c r="AC236" s="375"/>
      <c r="AD236" s="375"/>
      <c r="AE236" s="375"/>
      <c r="AF236" s="375"/>
      <c r="AG236" s="375"/>
      <c r="AH236" s="384">
        <f>VLOOKUP("УТ-00041249",'Выгрузка из 1С'!$B$4:$K$1989,10,FALSE)</f>
        <v>68928</v>
      </c>
      <c r="AI236" s="385"/>
      <c r="AJ236" s="385"/>
      <c r="AK236" s="385"/>
      <c r="AL236" s="385"/>
      <c r="AM236" s="386"/>
      <c r="AN236" s="384">
        <f>VLOOKUP("00-00180491",'Выгрузка из 1С'!$B$4:$K$1989,10,FALSE)</f>
        <v>54312</v>
      </c>
      <c r="AO236" s="385"/>
      <c r="AP236" s="385"/>
      <c r="AQ236" s="385"/>
      <c r="AR236" s="385"/>
      <c r="AS236" s="386"/>
      <c r="AX236" s="178"/>
    </row>
    <row r="237" spans="1:50" s="19" customFormat="1" ht="12.75" x14ac:dyDescent="0.2">
      <c r="A237" s="553"/>
      <c r="B237" s="171"/>
      <c r="C237" s="375"/>
      <c r="D237" s="375"/>
      <c r="E237" s="375"/>
      <c r="F237" s="375"/>
      <c r="G237" s="375"/>
      <c r="H237" s="375"/>
      <c r="I237" s="375" t="s">
        <v>38</v>
      </c>
      <c r="J237" s="375"/>
      <c r="K237" s="375"/>
      <c r="L237" s="375"/>
      <c r="M237" s="375"/>
      <c r="N237" s="375"/>
      <c r="O237" s="375"/>
      <c r="P237" s="375"/>
      <c r="Q237" s="375"/>
      <c r="R237" s="375"/>
      <c r="S237" s="375"/>
      <c r="T237" s="375"/>
      <c r="U237" s="375" t="s">
        <v>53</v>
      </c>
      <c r="V237" s="375"/>
      <c r="W237" s="375"/>
      <c r="X237" s="375"/>
      <c r="Y237" s="375"/>
      <c r="Z237" s="375"/>
      <c r="AA237" s="375"/>
      <c r="AB237" s="375"/>
      <c r="AC237" s="375"/>
      <c r="AD237" s="375"/>
      <c r="AE237" s="375"/>
      <c r="AF237" s="375"/>
      <c r="AG237" s="375"/>
      <c r="AH237" s="384">
        <f>VLOOKUP("УТ-00041250",'Выгрузка из 1С'!$B$4:$K$1989,10,FALSE)</f>
        <v>65640</v>
      </c>
      <c r="AI237" s="385"/>
      <c r="AJ237" s="385"/>
      <c r="AK237" s="385"/>
      <c r="AL237" s="385"/>
      <c r="AM237" s="386"/>
      <c r="AN237" s="384">
        <f>VLOOKUP("00-00180479",'Выгрузка из 1С'!$B$4:$K$1989,10,FALSE)</f>
        <v>51720</v>
      </c>
      <c r="AO237" s="385"/>
      <c r="AP237" s="385"/>
      <c r="AQ237" s="385"/>
      <c r="AR237" s="385"/>
      <c r="AS237" s="386"/>
      <c r="AX237" s="178"/>
    </row>
    <row r="238" spans="1:50" s="19" customFormat="1" ht="12.75" x14ac:dyDescent="0.2">
      <c r="A238" s="553"/>
      <c r="B238" s="171"/>
      <c r="C238" s="375">
        <v>80</v>
      </c>
      <c r="D238" s="375"/>
      <c r="E238" s="375"/>
      <c r="F238" s="375"/>
      <c r="G238" s="375"/>
      <c r="H238" s="375"/>
      <c r="I238" s="375" t="s">
        <v>36</v>
      </c>
      <c r="J238" s="375"/>
      <c r="K238" s="375"/>
      <c r="L238" s="375"/>
      <c r="M238" s="375"/>
      <c r="N238" s="375"/>
      <c r="O238" s="375">
        <v>10</v>
      </c>
      <c r="P238" s="375"/>
      <c r="Q238" s="375"/>
      <c r="R238" s="375"/>
      <c r="S238" s="375"/>
      <c r="T238" s="375"/>
      <c r="U238" s="375" t="s">
        <v>54</v>
      </c>
      <c r="V238" s="375"/>
      <c r="W238" s="375"/>
      <c r="X238" s="375"/>
      <c r="Y238" s="375"/>
      <c r="Z238" s="375"/>
      <c r="AA238" s="375"/>
      <c r="AB238" s="375"/>
      <c r="AC238" s="375"/>
      <c r="AD238" s="375"/>
      <c r="AE238" s="375"/>
      <c r="AF238" s="375"/>
      <c r="AG238" s="375"/>
      <c r="AH238" s="384">
        <f>VLOOKUP("УТ-00041286",'Выгрузка из 1С'!$B$4:$K$1989,10,FALSE)</f>
        <v>92256</v>
      </c>
      <c r="AI238" s="385"/>
      <c r="AJ238" s="385"/>
      <c r="AK238" s="385"/>
      <c r="AL238" s="385"/>
      <c r="AM238" s="386"/>
      <c r="AN238" s="384">
        <f>VLOOKUP("УТ-00040330",'Выгрузка из 1С'!$B$4:$K$1989,10,FALSE)</f>
        <v>72060</v>
      </c>
      <c r="AO238" s="385"/>
      <c r="AP238" s="385"/>
      <c r="AQ238" s="385"/>
      <c r="AR238" s="385"/>
      <c r="AS238" s="386"/>
      <c r="AX238" s="178"/>
    </row>
    <row r="239" spans="1:50" s="19" customFormat="1" ht="12.75" x14ac:dyDescent="0.2">
      <c r="A239" s="553"/>
      <c r="B239" s="171"/>
      <c r="C239" s="375"/>
      <c r="D239" s="375"/>
      <c r="E239" s="375"/>
      <c r="F239" s="375"/>
      <c r="G239" s="375"/>
      <c r="H239" s="375"/>
      <c r="I239" s="375" t="s">
        <v>37</v>
      </c>
      <c r="J239" s="375"/>
      <c r="K239" s="375"/>
      <c r="L239" s="375"/>
      <c r="M239" s="375"/>
      <c r="N239" s="375"/>
      <c r="O239" s="375"/>
      <c r="P239" s="375"/>
      <c r="Q239" s="375"/>
      <c r="R239" s="375"/>
      <c r="S239" s="375"/>
      <c r="T239" s="375"/>
      <c r="U239" s="375" t="s">
        <v>55</v>
      </c>
      <c r="V239" s="375"/>
      <c r="W239" s="375"/>
      <c r="X239" s="375"/>
      <c r="Y239" s="375"/>
      <c r="Z239" s="375"/>
      <c r="AA239" s="375"/>
      <c r="AB239" s="375"/>
      <c r="AC239" s="375"/>
      <c r="AD239" s="375"/>
      <c r="AE239" s="375"/>
      <c r="AF239" s="375"/>
      <c r="AG239" s="375"/>
      <c r="AH239" s="384">
        <f>VLOOKUP("УТ-00041287",'Выгрузка из 1С'!$B$4:$K$1989,10,FALSE)</f>
        <v>72828</v>
      </c>
      <c r="AI239" s="385"/>
      <c r="AJ239" s="385"/>
      <c r="AK239" s="385"/>
      <c r="AL239" s="385"/>
      <c r="AM239" s="386"/>
      <c r="AN239" s="384">
        <f>VLOOKUP("УТ-00040331",'Выгрузка из 1С'!$B$4:$K$1989,10,FALSE)</f>
        <v>56892</v>
      </c>
      <c r="AO239" s="385"/>
      <c r="AP239" s="385"/>
      <c r="AQ239" s="385"/>
      <c r="AR239" s="385"/>
      <c r="AS239" s="386"/>
      <c r="AX239" s="178"/>
    </row>
    <row r="240" spans="1:50" s="19" customFormat="1" ht="12.75" x14ac:dyDescent="0.2">
      <c r="A240" s="553"/>
      <c r="B240" s="171"/>
      <c r="C240" s="375"/>
      <c r="D240" s="375"/>
      <c r="E240" s="375"/>
      <c r="F240" s="375"/>
      <c r="G240" s="375"/>
      <c r="H240" s="375"/>
      <c r="I240" s="375" t="s">
        <v>38</v>
      </c>
      <c r="J240" s="375"/>
      <c r="K240" s="375"/>
      <c r="L240" s="375"/>
      <c r="M240" s="375"/>
      <c r="N240" s="375"/>
      <c r="O240" s="375"/>
      <c r="P240" s="375"/>
      <c r="Q240" s="375"/>
      <c r="R240" s="375"/>
      <c r="S240" s="375"/>
      <c r="T240" s="375"/>
      <c r="U240" s="375" t="s">
        <v>56</v>
      </c>
      <c r="V240" s="375"/>
      <c r="W240" s="375"/>
      <c r="X240" s="375"/>
      <c r="Y240" s="375"/>
      <c r="Z240" s="375"/>
      <c r="AA240" s="375"/>
      <c r="AB240" s="375"/>
      <c r="AC240" s="375"/>
      <c r="AD240" s="375"/>
      <c r="AE240" s="375"/>
      <c r="AF240" s="375"/>
      <c r="AG240" s="375"/>
      <c r="AH240" s="384">
        <f>VLOOKUP("УТ-00041288",'Выгрузка из 1С'!$B$4:$K$1989,10,FALSE)</f>
        <v>69360</v>
      </c>
      <c r="AI240" s="385"/>
      <c r="AJ240" s="385"/>
      <c r="AK240" s="385"/>
      <c r="AL240" s="385"/>
      <c r="AM240" s="386"/>
      <c r="AN240" s="384">
        <f>VLOOKUP("УТ-00040332",'Выгрузка из 1С'!$B$4:$K$1989,10,FALSE)</f>
        <v>54180</v>
      </c>
      <c r="AO240" s="385"/>
      <c r="AP240" s="385"/>
      <c r="AQ240" s="385"/>
      <c r="AR240" s="385"/>
      <c r="AS240" s="386"/>
      <c r="AX240" s="178"/>
    </row>
    <row r="241" spans="1:50" s="19" customFormat="1" ht="12.75" x14ac:dyDescent="0.2">
      <c r="A241" s="553"/>
      <c r="B241" s="171"/>
      <c r="C241" s="375">
        <v>100</v>
      </c>
      <c r="D241" s="375"/>
      <c r="E241" s="375"/>
      <c r="F241" s="375"/>
      <c r="G241" s="375"/>
      <c r="H241" s="375"/>
      <c r="I241" s="375" t="s">
        <v>36</v>
      </c>
      <c r="J241" s="375"/>
      <c r="K241" s="375"/>
      <c r="L241" s="375"/>
      <c r="M241" s="375"/>
      <c r="N241" s="375"/>
      <c r="O241" s="375">
        <v>10</v>
      </c>
      <c r="P241" s="375"/>
      <c r="Q241" s="375"/>
      <c r="R241" s="375"/>
      <c r="S241" s="375"/>
      <c r="T241" s="375"/>
      <c r="U241" s="375" t="s">
        <v>57</v>
      </c>
      <c r="V241" s="375"/>
      <c r="W241" s="375"/>
      <c r="X241" s="375"/>
      <c r="Y241" s="375"/>
      <c r="Z241" s="375"/>
      <c r="AA241" s="375"/>
      <c r="AB241" s="375"/>
      <c r="AC241" s="375"/>
      <c r="AD241" s="375"/>
      <c r="AE241" s="375"/>
      <c r="AF241" s="375"/>
      <c r="AG241" s="375"/>
      <c r="AH241" s="384">
        <f>VLOOKUP("00-00180253",'Выгрузка из 1С'!$B$4:$K$1989,10,FALSE)</f>
        <v>120588</v>
      </c>
      <c r="AI241" s="385"/>
      <c r="AJ241" s="385"/>
      <c r="AK241" s="385"/>
      <c r="AL241" s="385"/>
      <c r="AM241" s="386"/>
      <c r="AN241" s="384">
        <f>VLOOKUP("УТ-00041306",'Выгрузка из 1С'!$B$4:$K$1989,10,FALSE)</f>
        <v>76536</v>
      </c>
      <c r="AO241" s="385"/>
      <c r="AP241" s="385"/>
      <c r="AQ241" s="385"/>
      <c r="AR241" s="385"/>
      <c r="AS241" s="386"/>
      <c r="AX241" s="178"/>
    </row>
    <row r="242" spans="1:50" s="19" customFormat="1" ht="12.75" x14ac:dyDescent="0.2">
      <c r="A242" s="553"/>
      <c r="B242" s="171"/>
      <c r="C242" s="375"/>
      <c r="D242" s="375"/>
      <c r="E242" s="375"/>
      <c r="F242" s="375"/>
      <c r="G242" s="375"/>
      <c r="H242" s="375"/>
      <c r="I242" s="375" t="s">
        <v>37</v>
      </c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 t="s">
        <v>58</v>
      </c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84">
        <f>VLOOKUP("00-00180231",'Выгрузка из 1С'!$B$4:$K$1989,10,FALSE)</f>
        <v>95196</v>
      </c>
      <c r="AI242" s="385"/>
      <c r="AJ242" s="385"/>
      <c r="AK242" s="385"/>
      <c r="AL242" s="385"/>
      <c r="AM242" s="386"/>
      <c r="AN242" s="384">
        <f>VLOOKUP("УТ-00041307",'Выгрузка из 1С'!$B$4:$K$1989,10,FALSE)</f>
        <v>60420</v>
      </c>
      <c r="AO242" s="385"/>
      <c r="AP242" s="385"/>
      <c r="AQ242" s="385"/>
      <c r="AR242" s="385"/>
      <c r="AS242" s="386"/>
      <c r="AX242" s="178"/>
    </row>
    <row r="243" spans="1:50" s="19" customFormat="1" ht="12.75" x14ac:dyDescent="0.2">
      <c r="A243" s="553"/>
      <c r="B243" s="171"/>
      <c r="C243" s="375"/>
      <c r="D243" s="375"/>
      <c r="E243" s="375"/>
      <c r="F243" s="375"/>
      <c r="G243" s="375"/>
      <c r="H243" s="375"/>
      <c r="I243" s="375" t="s">
        <v>38</v>
      </c>
      <c r="J243" s="375"/>
      <c r="K243" s="375"/>
      <c r="L243" s="375"/>
      <c r="M243" s="375"/>
      <c r="N243" s="375"/>
      <c r="O243" s="375"/>
      <c r="P243" s="375"/>
      <c r="Q243" s="375"/>
      <c r="R243" s="375"/>
      <c r="S243" s="375"/>
      <c r="T243" s="375"/>
      <c r="U243" s="375" t="s">
        <v>59</v>
      </c>
      <c r="V243" s="375"/>
      <c r="W243" s="375"/>
      <c r="X243" s="375"/>
      <c r="Y243" s="375"/>
      <c r="Z243" s="375"/>
      <c r="AA243" s="375"/>
      <c r="AB243" s="375"/>
      <c r="AC243" s="375"/>
      <c r="AD243" s="375"/>
      <c r="AE243" s="375"/>
      <c r="AF243" s="375"/>
      <c r="AG243" s="375"/>
      <c r="AH243" s="384">
        <f>VLOOKUP("00-00180229",'Выгрузка из 1С'!$B$4:$K$1989,10,FALSE)</f>
        <v>90660</v>
      </c>
      <c r="AI243" s="385"/>
      <c r="AJ243" s="385"/>
      <c r="AK243" s="385"/>
      <c r="AL243" s="385"/>
      <c r="AM243" s="386"/>
      <c r="AN243" s="384">
        <f>VLOOKUP("УТ-00041308",'Выгрузка из 1С'!$B$4:$K$1989,10,FALSE)</f>
        <v>57540</v>
      </c>
      <c r="AO243" s="385"/>
      <c r="AP243" s="385"/>
      <c r="AQ243" s="385"/>
      <c r="AR243" s="385"/>
      <c r="AS243" s="386"/>
      <c r="AX243" s="178"/>
    </row>
    <row r="244" spans="1:50" s="19" customFormat="1" ht="12.75" x14ac:dyDescent="0.2">
      <c r="A244" s="553"/>
      <c r="B244" s="268"/>
      <c r="C244" s="375">
        <v>150</v>
      </c>
      <c r="D244" s="375"/>
      <c r="E244" s="375"/>
      <c r="F244" s="375"/>
      <c r="G244" s="375"/>
      <c r="H244" s="375"/>
      <c r="I244" s="375" t="s">
        <v>36</v>
      </c>
      <c r="J244" s="375"/>
      <c r="K244" s="375"/>
      <c r="L244" s="375"/>
      <c r="M244" s="375"/>
      <c r="N244" s="375"/>
      <c r="O244" s="375">
        <v>25</v>
      </c>
      <c r="P244" s="375"/>
      <c r="Q244" s="375"/>
      <c r="R244" s="375"/>
      <c r="S244" s="375"/>
      <c r="T244" s="375"/>
      <c r="U244" s="375" t="s">
        <v>60</v>
      </c>
      <c r="V244" s="375"/>
      <c r="W244" s="375"/>
      <c r="X244" s="375"/>
      <c r="Y244" s="375"/>
      <c r="Z244" s="375"/>
      <c r="AA244" s="375"/>
      <c r="AB244" s="375"/>
      <c r="AC244" s="375"/>
      <c r="AD244" s="375"/>
      <c r="AE244" s="375"/>
      <c r="AF244" s="375"/>
      <c r="AG244" s="375"/>
      <c r="AH244" s="384">
        <f>VLOOKUP("УТ-00040391",'Выгрузка из 1С'!$B$4:$K$1989,10,FALSE)</f>
        <v>147240</v>
      </c>
      <c r="AI244" s="385"/>
      <c r="AJ244" s="385"/>
      <c r="AK244" s="385"/>
      <c r="AL244" s="385"/>
      <c r="AM244" s="386"/>
      <c r="AN244" s="684" t="s">
        <v>101</v>
      </c>
      <c r="AO244" s="685"/>
      <c r="AP244" s="685"/>
      <c r="AQ244" s="685"/>
      <c r="AR244" s="685"/>
      <c r="AS244" s="686"/>
      <c r="AX244" s="178"/>
    </row>
    <row r="245" spans="1:50" s="19" customFormat="1" ht="12.75" x14ac:dyDescent="0.2">
      <c r="A245" s="553"/>
      <c r="B245" s="268"/>
      <c r="C245" s="375"/>
      <c r="D245" s="375"/>
      <c r="E245" s="375"/>
      <c r="F245" s="375"/>
      <c r="G245" s="375"/>
      <c r="H245" s="375"/>
      <c r="I245" s="375" t="s">
        <v>37</v>
      </c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 t="s">
        <v>61</v>
      </c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84">
        <f>VLOOKUP("УТ-00040392",'Выгрузка из 1С'!$B$4:$K$1989,10,FALSE)</f>
        <v>116244</v>
      </c>
      <c r="AI245" s="385"/>
      <c r="AJ245" s="385"/>
      <c r="AK245" s="385"/>
      <c r="AL245" s="385"/>
      <c r="AM245" s="386"/>
      <c r="AN245" s="684" t="s">
        <v>101</v>
      </c>
      <c r="AO245" s="685"/>
      <c r="AP245" s="685"/>
      <c r="AQ245" s="685"/>
      <c r="AR245" s="685"/>
      <c r="AS245" s="686"/>
      <c r="AX245" s="178"/>
    </row>
    <row r="246" spans="1:50" s="19" customFormat="1" ht="12.75" x14ac:dyDescent="0.2">
      <c r="A246" s="553"/>
      <c r="B246" s="268"/>
      <c r="C246" s="375"/>
      <c r="D246" s="375"/>
      <c r="E246" s="375"/>
      <c r="F246" s="375"/>
      <c r="G246" s="375"/>
      <c r="H246" s="375"/>
      <c r="I246" s="375" t="s">
        <v>38</v>
      </c>
      <c r="J246" s="375"/>
      <c r="K246" s="375"/>
      <c r="L246" s="375"/>
      <c r="M246" s="375"/>
      <c r="N246" s="375"/>
      <c r="O246" s="375"/>
      <c r="P246" s="375"/>
      <c r="Q246" s="375"/>
      <c r="R246" s="375"/>
      <c r="S246" s="375"/>
      <c r="T246" s="375"/>
      <c r="U246" s="375" t="s">
        <v>62</v>
      </c>
      <c r="V246" s="375"/>
      <c r="W246" s="375"/>
      <c r="X246" s="375"/>
      <c r="Y246" s="375"/>
      <c r="Z246" s="375"/>
      <c r="AA246" s="375"/>
      <c r="AB246" s="375"/>
      <c r="AC246" s="375"/>
      <c r="AD246" s="375"/>
      <c r="AE246" s="375"/>
      <c r="AF246" s="375"/>
      <c r="AG246" s="375"/>
      <c r="AH246" s="384">
        <f>VLOOKUP("УТ-00040393",'Выгрузка из 1С'!$B$4:$K$1989,10,FALSE)</f>
        <v>110700</v>
      </c>
      <c r="AI246" s="385"/>
      <c r="AJ246" s="385"/>
      <c r="AK246" s="385"/>
      <c r="AL246" s="385"/>
      <c r="AM246" s="386"/>
      <c r="AN246" s="684" t="s">
        <v>101</v>
      </c>
      <c r="AO246" s="685"/>
      <c r="AP246" s="685"/>
      <c r="AQ246" s="685"/>
      <c r="AR246" s="685"/>
      <c r="AS246" s="686"/>
      <c r="AX246" s="178"/>
    </row>
    <row r="247" spans="1:50" s="19" customFormat="1" ht="12.75" x14ac:dyDescent="0.2">
      <c r="A247" s="553"/>
      <c r="B247" s="268"/>
      <c r="C247" s="375">
        <v>200</v>
      </c>
      <c r="D247" s="375"/>
      <c r="E247" s="375"/>
      <c r="F247" s="375"/>
      <c r="G247" s="375"/>
      <c r="H247" s="375"/>
      <c r="I247" s="375" t="s">
        <v>36</v>
      </c>
      <c r="J247" s="375"/>
      <c r="K247" s="375"/>
      <c r="L247" s="375"/>
      <c r="M247" s="375"/>
      <c r="N247" s="375"/>
      <c r="O247" s="375">
        <v>30</v>
      </c>
      <c r="P247" s="375"/>
      <c r="Q247" s="375"/>
      <c r="R247" s="375"/>
      <c r="S247" s="375"/>
      <c r="T247" s="375"/>
      <c r="U247" s="375" t="s">
        <v>909</v>
      </c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4">
        <f>VLOOKUP("00-00180289",'Выгрузка из 1С'!$B$4:$K$1989,10,FALSE)</f>
        <v>259200</v>
      </c>
      <c r="AI247" s="385"/>
      <c r="AJ247" s="385"/>
      <c r="AK247" s="385"/>
      <c r="AL247" s="385"/>
      <c r="AM247" s="386"/>
      <c r="AN247" s="684" t="s">
        <v>101</v>
      </c>
      <c r="AO247" s="685"/>
      <c r="AP247" s="685"/>
      <c r="AQ247" s="685"/>
      <c r="AR247" s="685"/>
      <c r="AS247" s="686"/>
      <c r="AX247" s="178"/>
    </row>
    <row r="248" spans="1:50" s="19" customFormat="1" ht="12.75" x14ac:dyDescent="0.2">
      <c r="A248" s="553"/>
      <c r="B248" s="268"/>
      <c r="C248" s="375"/>
      <c r="D248" s="375"/>
      <c r="E248" s="375"/>
      <c r="F248" s="375"/>
      <c r="G248" s="375"/>
      <c r="H248" s="375"/>
      <c r="I248" s="375" t="s">
        <v>37</v>
      </c>
      <c r="J248" s="375"/>
      <c r="K248" s="375"/>
      <c r="L248" s="375"/>
      <c r="M248" s="375"/>
      <c r="N248" s="375"/>
      <c r="O248" s="375"/>
      <c r="P248" s="375"/>
      <c r="Q248" s="375"/>
      <c r="R248" s="375"/>
      <c r="S248" s="375"/>
      <c r="T248" s="375"/>
      <c r="U248" s="375" t="s">
        <v>910</v>
      </c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4">
        <f>VLOOKUP("00-00180267",'Выгрузка из 1С'!$B$4:$K$1989,10,FALSE)</f>
        <v>204624</v>
      </c>
      <c r="AI248" s="385"/>
      <c r="AJ248" s="385"/>
      <c r="AK248" s="385"/>
      <c r="AL248" s="385"/>
      <c r="AM248" s="386"/>
      <c r="AN248" s="684" t="s">
        <v>101</v>
      </c>
      <c r="AO248" s="685"/>
      <c r="AP248" s="685"/>
      <c r="AQ248" s="685"/>
      <c r="AR248" s="685"/>
      <c r="AS248" s="686"/>
      <c r="AX248" s="178"/>
    </row>
    <row r="249" spans="1:50" s="19" customFormat="1" ht="12.75" x14ac:dyDescent="0.2">
      <c r="A249" s="553"/>
      <c r="B249" s="268"/>
      <c r="C249" s="375"/>
      <c r="D249" s="375"/>
      <c r="E249" s="375"/>
      <c r="F249" s="375"/>
      <c r="G249" s="375"/>
      <c r="H249" s="375"/>
      <c r="I249" s="375" t="s">
        <v>38</v>
      </c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 t="s">
        <v>911</v>
      </c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4">
        <f>VLOOKUP("00-00180265",'Выгрузка из 1С'!$B$4:$K$1989,10,FALSE)</f>
        <v>194880</v>
      </c>
      <c r="AI249" s="385"/>
      <c r="AJ249" s="385"/>
      <c r="AK249" s="385"/>
      <c r="AL249" s="385"/>
      <c r="AM249" s="386"/>
      <c r="AN249" s="684" t="s">
        <v>101</v>
      </c>
      <c r="AO249" s="685"/>
      <c r="AP249" s="685"/>
      <c r="AQ249" s="685"/>
      <c r="AR249" s="685"/>
      <c r="AS249" s="686"/>
      <c r="AX249" s="178"/>
    </row>
    <row r="250" spans="1:50" s="19" customFormat="1" ht="12.75" x14ac:dyDescent="0.2">
      <c r="A250" s="553"/>
      <c r="B250" s="268"/>
      <c r="C250" s="375">
        <v>250</v>
      </c>
      <c r="D250" s="375"/>
      <c r="E250" s="375"/>
      <c r="F250" s="375"/>
      <c r="G250" s="375"/>
      <c r="H250" s="375"/>
      <c r="I250" s="375" t="s">
        <v>36</v>
      </c>
      <c r="J250" s="375"/>
      <c r="K250" s="375"/>
      <c r="L250" s="375"/>
      <c r="M250" s="375"/>
      <c r="N250" s="375"/>
      <c r="O250" s="375">
        <v>40</v>
      </c>
      <c r="P250" s="375"/>
      <c r="Q250" s="375"/>
      <c r="R250" s="375"/>
      <c r="S250" s="375"/>
      <c r="T250" s="375"/>
      <c r="U250" s="375" t="s">
        <v>912</v>
      </c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4">
        <f>VLOOKUP("00-00180325",'Выгрузка из 1С'!$B$4:$K$1989,10,FALSE)</f>
        <v>335088</v>
      </c>
      <c r="AI250" s="385"/>
      <c r="AJ250" s="385"/>
      <c r="AK250" s="385"/>
      <c r="AL250" s="385"/>
      <c r="AM250" s="386"/>
      <c r="AN250" s="684" t="s">
        <v>101</v>
      </c>
      <c r="AO250" s="685"/>
      <c r="AP250" s="685"/>
      <c r="AQ250" s="685"/>
      <c r="AR250" s="685"/>
      <c r="AS250" s="686"/>
      <c r="AX250" s="178"/>
    </row>
    <row r="251" spans="1:50" s="19" customFormat="1" ht="12.75" x14ac:dyDescent="0.2">
      <c r="A251" s="553"/>
      <c r="B251" s="268"/>
      <c r="C251" s="375"/>
      <c r="D251" s="375"/>
      <c r="E251" s="375"/>
      <c r="F251" s="375"/>
      <c r="G251" s="375"/>
      <c r="H251" s="375"/>
      <c r="I251" s="375" t="s">
        <v>37</v>
      </c>
      <c r="J251" s="375"/>
      <c r="K251" s="375"/>
      <c r="L251" s="375"/>
      <c r="M251" s="375"/>
      <c r="N251" s="375"/>
      <c r="O251" s="375"/>
      <c r="P251" s="375"/>
      <c r="Q251" s="375"/>
      <c r="R251" s="375"/>
      <c r="S251" s="375"/>
      <c r="T251" s="375"/>
      <c r="U251" s="375" t="s">
        <v>913</v>
      </c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4">
        <f>VLOOKUP("00-00180303",'Выгрузка из 1С'!$B$4:$K$1989,10,FALSE)</f>
        <v>264540</v>
      </c>
      <c r="AI251" s="385"/>
      <c r="AJ251" s="385"/>
      <c r="AK251" s="385"/>
      <c r="AL251" s="385"/>
      <c r="AM251" s="386"/>
      <c r="AN251" s="684" t="s">
        <v>101</v>
      </c>
      <c r="AO251" s="685"/>
      <c r="AP251" s="685"/>
      <c r="AQ251" s="685"/>
      <c r="AR251" s="685"/>
      <c r="AS251" s="686"/>
      <c r="AX251" s="178"/>
    </row>
    <row r="252" spans="1:50" s="19" customFormat="1" ht="12.75" x14ac:dyDescent="0.2">
      <c r="A252" s="553"/>
      <c r="B252" s="268"/>
      <c r="C252" s="375"/>
      <c r="D252" s="375"/>
      <c r="E252" s="375"/>
      <c r="F252" s="375"/>
      <c r="G252" s="375"/>
      <c r="H252" s="375"/>
      <c r="I252" s="375" t="s">
        <v>38</v>
      </c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 t="s">
        <v>914</v>
      </c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84">
        <f>VLOOKUP("00-00180301",'Выгрузка из 1С'!$B$4:$K$1989,10,FALSE)</f>
        <v>251940</v>
      </c>
      <c r="AI252" s="385"/>
      <c r="AJ252" s="385"/>
      <c r="AK252" s="385"/>
      <c r="AL252" s="385"/>
      <c r="AM252" s="386"/>
      <c r="AN252" s="684" t="s">
        <v>101</v>
      </c>
      <c r="AO252" s="685"/>
      <c r="AP252" s="685"/>
      <c r="AQ252" s="685"/>
      <c r="AR252" s="685"/>
      <c r="AS252" s="686"/>
      <c r="AX252" s="178"/>
    </row>
    <row r="253" spans="1:50" s="19" customFormat="1" ht="12.75" x14ac:dyDescent="0.2">
      <c r="A253" s="553"/>
      <c r="B253" s="171"/>
      <c r="C253" s="375">
        <v>300</v>
      </c>
      <c r="D253" s="375"/>
      <c r="E253" s="375"/>
      <c r="F253" s="375"/>
      <c r="G253" s="375"/>
      <c r="H253" s="375"/>
      <c r="I253" s="375" t="s">
        <v>36</v>
      </c>
      <c r="J253" s="375"/>
      <c r="K253" s="375"/>
      <c r="L253" s="375"/>
      <c r="M253" s="375"/>
      <c r="N253" s="375"/>
      <c r="O253" s="375">
        <v>50</v>
      </c>
      <c r="P253" s="375"/>
      <c r="Q253" s="375"/>
      <c r="R253" s="375"/>
      <c r="S253" s="375"/>
      <c r="T253" s="375"/>
      <c r="U253" s="375" t="s">
        <v>915</v>
      </c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4">
        <f>VLOOKUP("00-00180361",'Выгрузка из 1С'!$B$4:$K$1989,10,FALSE)</f>
        <v>481596</v>
      </c>
      <c r="AI253" s="385"/>
      <c r="AJ253" s="385"/>
      <c r="AK253" s="385"/>
      <c r="AL253" s="385"/>
      <c r="AM253" s="386"/>
      <c r="AN253" s="684" t="s">
        <v>101</v>
      </c>
      <c r="AO253" s="685"/>
      <c r="AP253" s="685"/>
      <c r="AQ253" s="685"/>
      <c r="AR253" s="685"/>
      <c r="AS253" s="686"/>
      <c r="AX253" s="178"/>
    </row>
    <row r="254" spans="1:50" s="19" customFormat="1" ht="12.75" x14ac:dyDescent="0.2">
      <c r="A254" s="553"/>
      <c r="B254" s="171"/>
      <c r="C254" s="375"/>
      <c r="D254" s="375"/>
      <c r="E254" s="375"/>
      <c r="F254" s="375"/>
      <c r="G254" s="375"/>
      <c r="H254" s="375"/>
      <c r="I254" s="375" t="s">
        <v>37</v>
      </c>
      <c r="J254" s="375"/>
      <c r="K254" s="375"/>
      <c r="L254" s="375"/>
      <c r="M254" s="375"/>
      <c r="N254" s="375"/>
      <c r="O254" s="375"/>
      <c r="P254" s="375"/>
      <c r="Q254" s="375"/>
      <c r="R254" s="375"/>
      <c r="S254" s="375"/>
      <c r="T254" s="375"/>
      <c r="U254" s="375" t="s">
        <v>916</v>
      </c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4">
        <f>VLOOKUP("00-00180339",'Выгрузка из 1С'!$B$4:$K$1989,10,FALSE)</f>
        <v>380208</v>
      </c>
      <c r="AI254" s="385"/>
      <c r="AJ254" s="385"/>
      <c r="AK254" s="385"/>
      <c r="AL254" s="385"/>
      <c r="AM254" s="386"/>
      <c r="AN254" s="684" t="s">
        <v>101</v>
      </c>
      <c r="AO254" s="685"/>
      <c r="AP254" s="685"/>
      <c r="AQ254" s="685"/>
      <c r="AR254" s="685"/>
      <c r="AS254" s="686"/>
      <c r="AX254" s="178"/>
    </row>
    <row r="255" spans="1:50" s="19" customFormat="1" ht="12.75" x14ac:dyDescent="0.2">
      <c r="A255" s="553"/>
      <c r="B255" s="171"/>
      <c r="C255" s="375"/>
      <c r="D255" s="375"/>
      <c r="E255" s="375"/>
      <c r="F255" s="375"/>
      <c r="G255" s="375"/>
      <c r="H255" s="375"/>
      <c r="I255" s="375" t="s">
        <v>38</v>
      </c>
      <c r="J255" s="375"/>
      <c r="K255" s="375"/>
      <c r="L255" s="375"/>
      <c r="M255" s="375"/>
      <c r="N255" s="375"/>
      <c r="O255" s="375"/>
      <c r="P255" s="375"/>
      <c r="Q255" s="375"/>
      <c r="R255" s="375"/>
      <c r="S255" s="375"/>
      <c r="T255" s="375"/>
      <c r="U255" s="375" t="s">
        <v>917</v>
      </c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4">
        <f>VLOOKUP("00-00180337",'Выгрузка из 1С'!$B$4:$K$1989,10,FALSE)</f>
        <v>362100</v>
      </c>
      <c r="AI255" s="385"/>
      <c r="AJ255" s="385"/>
      <c r="AK255" s="385"/>
      <c r="AL255" s="385"/>
      <c r="AM255" s="386"/>
      <c r="AN255" s="684" t="s">
        <v>101</v>
      </c>
      <c r="AO255" s="685"/>
      <c r="AP255" s="685"/>
      <c r="AQ255" s="685"/>
      <c r="AR255" s="685"/>
      <c r="AS255" s="686"/>
      <c r="AX255" s="178"/>
    </row>
    <row r="256" spans="1:50" s="19" customFormat="1" x14ac:dyDescent="0.25">
      <c r="A256" s="170"/>
      <c r="B256" s="170"/>
      <c r="C256" s="20"/>
      <c r="D256" s="20"/>
      <c r="E256" s="20"/>
      <c r="F256" s="20"/>
      <c r="G256" s="20"/>
      <c r="H256" s="20"/>
      <c r="I256" s="7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X256" s="178"/>
    </row>
    <row r="257" spans="1:50" s="25" customFormat="1" x14ac:dyDescent="0.25">
      <c r="A257" s="7"/>
      <c r="B257" s="7"/>
      <c r="C257" s="556" t="s">
        <v>63</v>
      </c>
      <c r="D257" s="556"/>
      <c r="E257" s="556"/>
      <c r="F257" s="556"/>
      <c r="G257" s="556"/>
      <c r="H257" s="556"/>
      <c r="I257" s="556"/>
      <c r="J257" s="556"/>
      <c r="K257" s="556"/>
      <c r="L257" s="556"/>
      <c r="M257" s="556"/>
      <c r="N257" s="556"/>
      <c r="O257" s="556"/>
      <c r="P257" s="556"/>
      <c r="Q257" s="556"/>
      <c r="R257" s="556"/>
      <c r="S257" s="556"/>
      <c r="T257" s="556"/>
      <c r="U257" s="556"/>
      <c r="V257" s="556"/>
      <c r="W257" s="556"/>
      <c r="X257" s="556"/>
      <c r="Y257" s="556"/>
      <c r="Z257" s="556"/>
      <c r="AA257" s="556"/>
      <c r="AB257" s="556"/>
      <c r="AC257" s="556"/>
      <c r="AD257" s="556"/>
      <c r="AE257" s="556"/>
      <c r="AF257" s="556"/>
      <c r="AG257" s="556"/>
      <c r="AH257" s="556"/>
      <c r="AI257" s="556"/>
      <c r="AJ257" s="556"/>
      <c r="AK257" s="556"/>
      <c r="AL257" s="556"/>
      <c r="AM257" s="556"/>
      <c r="AN257" s="556"/>
      <c r="AO257" s="556"/>
      <c r="AP257" s="556"/>
      <c r="AQ257" s="556"/>
      <c r="AR257" s="556"/>
      <c r="AS257" s="556"/>
    </row>
    <row r="258" spans="1:50" s="19" customFormat="1" x14ac:dyDescent="0.25">
      <c r="A258" s="170"/>
      <c r="B258" s="170"/>
      <c r="C258" s="368" t="s">
        <v>66</v>
      </c>
      <c r="D258" s="368"/>
      <c r="E258" s="368"/>
      <c r="F258" s="368"/>
      <c r="G258" s="368"/>
      <c r="H258" s="368"/>
      <c r="I258" s="368"/>
      <c r="J258" s="368"/>
      <c r="K258" s="368"/>
      <c r="L258" s="368"/>
      <c r="M258" s="368"/>
      <c r="N258" s="368"/>
      <c r="O258" s="368"/>
      <c r="P258" s="368"/>
      <c r="Q258" s="368"/>
      <c r="R258" s="368"/>
      <c r="S258" s="368"/>
      <c r="T258" s="368"/>
      <c r="U258" s="368"/>
      <c r="V258" s="368"/>
      <c r="W258" s="368"/>
      <c r="X258" s="368"/>
      <c r="Y258" s="368"/>
      <c r="Z258" s="368"/>
      <c r="AA258" s="368"/>
      <c r="AB258" s="368"/>
      <c r="AC258" s="368"/>
      <c r="AD258" s="368"/>
      <c r="AE258" s="368"/>
      <c r="AF258" s="368"/>
      <c r="AG258" s="368"/>
      <c r="AH258" s="368"/>
      <c r="AI258" s="368"/>
      <c r="AJ258" s="368"/>
      <c r="AK258" s="368"/>
      <c r="AL258" s="368"/>
      <c r="AM258" s="368"/>
      <c r="AN258" s="555" t="s">
        <v>907</v>
      </c>
      <c r="AO258" s="555"/>
      <c r="AP258" s="555"/>
      <c r="AQ258" s="555"/>
      <c r="AR258" s="555"/>
      <c r="AS258" s="555"/>
      <c r="AW258" s="25"/>
      <c r="AX258" s="25"/>
    </row>
    <row r="259" spans="1:50" s="19" customFormat="1" x14ac:dyDescent="0.25">
      <c r="A259" s="170"/>
      <c r="B259" s="170"/>
      <c r="C259" s="368" t="s">
        <v>97</v>
      </c>
      <c r="D259" s="368"/>
      <c r="E259" s="368"/>
      <c r="F259" s="368"/>
      <c r="G259" s="368"/>
      <c r="H259" s="368"/>
      <c r="I259" s="368"/>
      <c r="J259" s="368"/>
      <c r="K259" s="368"/>
      <c r="L259" s="368"/>
      <c r="M259" s="368"/>
      <c r="N259" s="368"/>
      <c r="O259" s="368"/>
      <c r="P259" s="368"/>
      <c r="Q259" s="368"/>
      <c r="R259" s="368"/>
      <c r="S259" s="368"/>
      <c r="T259" s="368"/>
      <c r="U259" s="368"/>
      <c r="V259" s="368"/>
      <c r="W259" s="368"/>
      <c r="X259" s="368"/>
      <c r="Y259" s="368"/>
      <c r="Z259" s="368"/>
      <c r="AA259" s="368"/>
      <c r="AB259" s="368"/>
      <c r="AC259" s="368"/>
      <c r="AD259" s="368"/>
      <c r="AE259" s="368"/>
      <c r="AF259" s="368"/>
      <c r="AG259" s="368"/>
      <c r="AH259" s="368"/>
      <c r="AI259" s="368"/>
      <c r="AJ259" s="368"/>
      <c r="AK259" s="368"/>
      <c r="AL259" s="368"/>
      <c r="AM259" s="368"/>
      <c r="AN259" s="380">
        <v>4810</v>
      </c>
      <c r="AO259" s="381"/>
      <c r="AP259" s="381"/>
      <c r="AQ259" s="381"/>
      <c r="AR259" s="381"/>
      <c r="AS259" s="381"/>
      <c r="AW259" s="25"/>
      <c r="AX259" s="25"/>
    </row>
    <row r="260" spans="1:50" s="19" customFormat="1" x14ac:dyDescent="0.25">
      <c r="A260" s="170"/>
      <c r="B260" s="170"/>
      <c r="C260" s="368" t="s">
        <v>98</v>
      </c>
      <c r="D260" s="368"/>
      <c r="E260" s="368"/>
      <c r="F260" s="368"/>
      <c r="G260" s="368"/>
      <c r="H260" s="368"/>
      <c r="I260" s="368"/>
      <c r="J260" s="368"/>
      <c r="K260" s="368"/>
      <c r="L260" s="368"/>
      <c r="M260" s="368"/>
      <c r="N260" s="368"/>
      <c r="O260" s="368"/>
      <c r="P260" s="368"/>
      <c r="Q260" s="368"/>
      <c r="R260" s="368"/>
      <c r="S260" s="368"/>
      <c r="T260" s="368"/>
      <c r="U260" s="368"/>
      <c r="V260" s="368"/>
      <c r="W260" s="368"/>
      <c r="X260" s="368"/>
      <c r="Y260" s="368"/>
      <c r="Z260" s="368"/>
      <c r="AA260" s="368"/>
      <c r="AB260" s="368"/>
      <c r="AC260" s="368"/>
      <c r="AD260" s="368"/>
      <c r="AE260" s="368"/>
      <c r="AF260" s="368"/>
      <c r="AG260" s="368"/>
      <c r="AH260" s="368"/>
      <c r="AI260" s="368"/>
      <c r="AJ260" s="368"/>
      <c r="AK260" s="368"/>
      <c r="AL260" s="368"/>
      <c r="AM260" s="368"/>
      <c r="AN260" s="380">
        <v>3890</v>
      </c>
      <c r="AO260" s="381"/>
      <c r="AP260" s="381"/>
      <c r="AQ260" s="381"/>
      <c r="AR260" s="381"/>
      <c r="AS260" s="381"/>
      <c r="AW260" s="25"/>
      <c r="AX260" s="25"/>
    </row>
    <row r="261" spans="1:50" s="19" customFormat="1" x14ac:dyDescent="0.25">
      <c r="A261" s="170"/>
      <c r="B261" s="170"/>
      <c r="C261" s="368" t="s">
        <v>99</v>
      </c>
      <c r="D261" s="368"/>
      <c r="E261" s="368"/>
      <c r="F261" s="368"/>
      <c r="G261" s="368"/>
      <c r="H261" s="368"/>
      <c r="I261" s="368"/>
      <c r="J261" s="368"/>
      <c r="K261" s="368"/>
      <c r="L261" s="368"/>
      <c r="M261" s="368"/>
      <c r="N261" s="368"/>
      <c r="O261" s="368"/>
      <c r="P261" s="368"/>
      <c r="Q261" s="368"/>
      <c r="R261" s="368"/>
      <c r="S261" s="368"/>
      <c r="T261" s="368"/>
      <c r="U261" s="368"/>
      <c r="V261" s="368"/>
      <c r="W261" s="368"/>
      <c r="X261" s="368"/>
      <c r="Y261" s="368"/>
      <c r="Z261" s="368"/>
      <c r="AA261" s="368"/>
      <c r="AB261" s="368"/>
      <c r="AC261" s="368"/>
      <c r="AD261" s="368"/>
      <c r="AE261" s="368"/>
      <c r="AF261" s="368"/>
      <c r="AG261" s="368"/>
      <c r="AH261" s="368"/>
      <c r="AI261" s="368"/>
      <c r="AJ261" s="368"/>
      <c r="AK261" s="368"/>
      <c r="AL261" s="368"/>
      <c r="AM261" s="368"/>
      <c r="AN261" s="380">
        <v>2200</v>
      </c>
      <c r="AO261" s="381"/>
      <c r="AP261" s="381"/>
      <c r="AQ261" s="381"/>
      <c r="AR261" s="381"/>
      <c r="AS261" s="381"/>
      <c r="AW261" s="25"/>
      <c r="AX261" s="25"/>
    </row>
    <row r="262" spans="1:50" s="19" customFormat="1" x14ac:dyDescent="0.25">
      <c r="A262" s="170"/>
      <c r="B262" s="170"/>
      <c r="C262" s="368" t="s">
        <v>100</v>
      </c>
      <c r="D262" s="368"/>
      <c r="E262" s="368"/>
      <c r="F262" s="368"/>
      <c r="G262" s="368"/>
      <c r="H262" s="368"/>
      <c r="I262" s="368"/>
      <c r="J262" s="368"/>
      <c r="K262" s="368"/>
      <c r="L262" s="368"/>
      <c r="M262" s="368"/>
      <c r="N262" s="368"/>
      <c r="O262" s="368"/>
      <c r="P262" s="368"/>
      <c r="Q262" s="368"/>
      <c r="R262" s="368"/>
      <c r="S262" s="368"/>
      <c r="T262" s="368"/>
      <c r="U262" s="368"/>
      <c r="V262" s="368"/>
      <c r="W262" s="368"/>
      <c r="X262" s="368"/>
      <c r="Y262" s="368"/>
      <c r="Z262" s="368"/>
      <c r="AA262" s="368"/>
      <c r="AB262" s="368"/>
      <c r="AC262" s="368"/>
      <c r="AD262" s="368"/>
      <c r="AE262" s="368"/>
      <c r="AF262" s="368"/>
      <c r="AG262" s="368"/>
      <c r="AH262" s="368"/>
      <c r="AI262" s="368"/>
      <c r="AJ262" s="368"/>
      <c r="AK262" s="368"/>
      <c r="AL262" s="368"/>
      <c r="AM262" s="368"/>
      <c r="AN262" s="380">
        <v>1900</v>
      </c>
      <c r="AO262" s="381"/>
      <c r="AP262" s="381"/>
      <c r="AQ262" s="381"/>
      <c r="AR262" s="381"/>
      <c r="AS262" s="381"/>
      <c r="AW262" s="25"/>
      <c r="AX262" s="25"/>
    </row>
    <row r="263" spans="1:50" s="19" customFormat="1" x14ac:dyDescent="0.25">
      <c r="A263" s="170"/>
      <c r="B263" s="170"/>
      <c r="C263" s="368" t="s">
        <v>926</v>
      </c>
      <c r="D263" s="368"/>
      <c r="E263" s="368"/>
      <c r="F263" s="368"/>
      <c r="G263" s="368"/>
      <c r="H263" s="368"/>
      <c r="I263" s="368"/>
      <c r="J263" s="368"/>
      <c r="K263" s="368"/>
      <c r="L263" s="368"/>
      <c r="M263" s="368"/>
      <c r="N263" s="368"/>
      <c r="O263" s="368"/>
      <c r="P263" s="368"/>
      <c r="Q263" s="368"/>
      <c r="R263" s="368"/>
      <c r="S263" s="368"/>
      <c r="T263" s="368"/>
      <c r="U263" s="368"/>
      <c r="V263" s="368"/>
      <c r="W263" s="368"/>
      <c r="X263" s="368"/>
      <c r="Y263" s="368"/>
      <c r="Z263" s="368"/>
      <c r="AA263" s="368"/>
      <c r="AB263" s="368"/>
      <c r="AC263" s="368"/>
      <c r="AD263" s="368"/>
      <c r="AE263" s="368"/>
      <c r="AF263" s="368"/>
      <c r="AG263" s="368"/>
      <c r="AH263" s="368"/>
      <c r="AI263" s="368"/>
      <c r="AJ263" s="368"/>
      <c r="AK263" s="368"/>
      <c r="AL263" s="368"/>
      <c r="AM263" s="368"/>
      <c r="AN263" s="380">
        <v>1000</v>
      </c>
      <c r="AO263" s="381"/>
      <c r="AP263" s="381"/>
      <c r="AQ263" s="381"/>
      <c r="AR263" s="381"/>
      <c r="AS263" s="381"/>
      <c r="AW263" s="25"/>
      <c r="AX263" s="25"/>
    </row>
    <row r="264" spans="1:50" s="19" customFormat="1" x14ac:dyDescent="0.25">
      <c r="A264" s="170"/>
      <c r="B264" s="170"/>
      <c r="C264" s="382" t="s">
        <v>927</v>
      </c>
      <c r="D264" s="382"/>
      <c r="E264" s="382"/>
      <c r="F264" s="382"/>
      <c r="G264" s="382"/>
      <c r="H264" s="382"/>
      <c r="I264" s="382"/>
      <c r="J264" s="382"/>
      <c r="K264" s="382"/>
      <c r="L264" s="382"/>
      <c r="M264" s="382"/>
      <c r="N264" s="382"/>
      <c r="O264" s="382"/>
      <c r="P264" s="382"/>
      <c r="Q264" s="382"/>
      <c r="R264" s="382"/>
      <c r="S264" s="382"/>
      <c r="T264" s="382"/>
      <c r="U264" s="382"/>
      <c r="V264" s="382"/>
      <c r="W264" s="382"/>
      <c r="X264" s="382"/>
      <c r="Y264" s="382"/>
      <c r="Z264" s="382"/>
      <c r="AA264" s="382"/>
      <c r="AB264" s="382"/>
      <c r="AC264" s="382"/>
      <c r="AD264" s="382"/>
      <c r="AE264" s="382"/>
      <c r="AF264" s="382"/>
      <c r="AG264" s="382"/>
      <c r="AH264" s="382"/>
      <c r="AI264" s="382"/>
      <c r="AJ264" s="382"/>
      <c r="AK264" s="382"/>
      <c r="AL264" s="382"/>
      <c r="AM264" s="382"/>
      <c r="AN264" s="380">
        <v>10925</v>
      </c>
      <c r="AO264" s="380"/>
      <c r="AP264" s="380"/>
      <c r="AQ264" s="380"/>
      <c r="AR264" s="380"/>
      <c r="AS264" s="380"/>
      <c r="AW264" s="25"/>
      <c r="AX264" s="25"/>
    </row>
    <row r="265" spans="1:50" s="19" customFormat="1" x14ac:dyDescent="0.25">
      <c r="A265" s="170"/>
      <c r="B265" s="170"/>
      <c r="C265" s="382" t="s">
        <v>928</v>
      </c>
      <c r="D265" s="382"/>
      <c r="E265" s="382"/>
      <c r="F265" s="382"/>
      <c r="G265" s="382"/>
      <c r="H265" s="382"/>
      <c r="I265" s="382"/>
      <c r="J265" s="382"/>
      <c r="K265" s="382"/>
      <c r="L265" s="382"/>
      <c r="M265" s="382"/>
      <c r="N265" s="382"/>
      <c r="O265" s="382"/>
      <c r="P265" s="382"/>
      <c r="Q265" s="382"/>
      <c r="R265" s="382"/>
      <c r="S265" s="382"/>
      <c r="T265" s="382"/>
      <c r="U265" s="382"/>
      <c r="V265" s="382"/>
      <c r="W265" s="382"/>
      <c r="X265" s="382"/>
      <c r="Y265" s="382"/>
      <c r="Z265" s="382"/>
      <c r="AA265" s="382"/>
      <c r="AB265" s="382"/>
      <c r="AC265" s="382"/>
      <c r="AD265" s="382"/>
      <c r="AE265" s="382"/>
      <c r="AF265" s="382"/>
      <c r="AG265" s="382"/>
      <c r="AH265" s="382"/>
      <c r="AI265" s="382"/>
      <c r="AJ265" s="382"/>
      <c r="AK265" s="382"/>
      <c r="AL265" s="382"/>
      <c r="AM265" s="382"/>
      <c r="AN265" s="380">
        <v>13800</v>
      </c>
      <c r="AO265" s="380"/>
      <c r="AP265" s="380"/>
      <c r="AQ265" s="380"/>
      <c r="AR265" s="380"/>
      <c r="AS265" s="380"/>
      <c r="AW265" s="25"/>
      <c r="AX265" s="25"/>
    </row>
    <row r="266" spans="1:50" s="19" customFormat="1" x14ac:dyDescent="0.25">
      <c r="A266" s="170"/>
      <c r="B266" s="170"/>
      <c r="C266" s="382" t="s">
        <v>929</v>
      </c>
      <c r="D266" s="382"/>
      <c r="E266" s="382"/>
      <c r="F266" s="382"/>
      <c r="G266" s="382"/>
      <c r="H266" s="382"/>
      <c r="I266" s="382"/>
      <c r="J266" s="382"/>
      <c r="K266" s="382"/>
      <c r="L266" s="382"/>
      <c r="M266" s="382"/>
      <c r="N266" s="382"/>
      <c r="O266" s="382"/>
      <c r="P266" s="382"/>
      <c r="Q266" s="382"/>
      <c r="R266" s="382"/>
      <c r="S266" s="382"/>
      <c r="T266" s="382"/>
      <c r="U266" s="382"/>
      <c r="V266" s="382"/>
      <c r="W266" s="382"/>
      <c r="X266" s="382"/>
      <c r="Y266" s="382"/>
      <c r="Z266" s="382"/>
      <c r="AA266" s="382"/>
      <c r="AB266" s="382"/>
      <c r="AC266" s="382"/>
      <c r="AD266" s="382"/>
      <c r="AE266" s="382"/>
      <c r="AF266" s="382"/>
      <c r="AG266" s="382"/>
      <c r="AH266" s="382"/>
      <c r="AI266" s="382"/>
      <c r="AJ266" s="382"/>
      <c r="AK266" s="382"/>
      <c r="AL266" s="382"/>
      <c r="AM266" s="382"/>
      <c r="AN266" s="380">
        <v>17250</v>
      </c>
      <c r="AO266" s="380"/>
      <c r="AP266" s="380"/>
      <c r="AQ266" s="380"/>
      <c r="AR266" s="380"/>
      <c r="AS266" s="380"/>
      <c r="AW266" s="25"/>
      <c r="AX266" s="25"/>
    </row>
    <row r="267" spans="1:50" s="19" customFormat="1" x14ac:dyDescent="0.25">
      <c r="A267" s="271"/>
      <c r="B267" s="271"/>
      <c r="C267" s="382" t="s">
        <v>930</v>
      </c>
      <c r="D267" s="382"/>
      <c r="E267" s="382"/>
      <c r="F267" s="382"/>
      <c r="G267" s="382"/>
      <c r="H267" s="382"/>
      <c r="I267" s="382"/>
      <c r="J267" s="382"/>
      <c r="K267" s="382"/>
      <c r="L267" s="382"/>
      <c r="M267" s="382"/>
      <c r="N267" s="382"/>
      <c r="O267" s="382"/>
      <c r="P267" s="382"/>
      <c r="Q267" s="382"/>
      <c r="R267" s="382"/>
      <c r="S267" s="382"/>
      <c r="T267" s="382"/>
      <c r="U267" s="382"/>
      <c r="V267" s="382"/>
      <c r="W267" s="382"/>
      <c r="X267" s="382"/>
      <c r="Y267" s="382"/>
      <c r="Z267" s="382"/>
      <c r="AA267" s="382"/>
      <c r="AB267" s="382"/>
      <c r="AC267" s="382"/>
      <c r="AD267" s="382"/>
      <c r="AE267" s="382"/>
      <c r="AF267" s="382"/>
      <c r="AG267" s="382"/>
      <c r="AH267" s="382"/>
      <c r="AI267" s="382"/>
      <c r="AJ267" s="382"/>
      <c r="AK267" s="382"/>
      <c r="AL267" s="382"/>
      <c r="AM267" s="382"/>
      <c r="AN267" s="380" t="s">
        <v>881</v>
      </c>
      <c r="AO267" s="380"/>
      <c r="AP267" s="380"/>
      <c r="AQ267" s="380"/>
      <c r="AR267" s="380"/>
      <c r="AS267" s="380"/>
      <c r="AW267" s="25"/>
      <c r="AX267" s="25"/>
    </row>
    <row r="268" spans="1:50" s="19" customFormat="1" x14ac:dyDescent="0.25">
      <c r="A268" s="271"/>
      <c r="B268" s="271"/>
      <c r="C268" s="382" t="s">
        <v>931</v>
      </c>
      <c r="D268" s="382"/>
      <c r="E268" s="382"/>
      <c r="F268" s="382"/>
      <c r="G268" s="382"/>
      <c r="H268" s="382"/>
      <c r="I268" s="382"/>
      <c r="J268" s="382"/>
      <c r="K268" s="382"/>
      <c r="L268" s="382"/>
      <c r="M268" s="382"/>
      <c r="N268" s="382"/>
      <c r="O268" s="382"/>
      <c r="P268" s="382"/>
      <c r="Q268" s="382"/>
      <c r="R268" s="382"/>
      <c r="S268" s="382"/>
      <c r="T268" s="382"/>
      <c r="U268" s="382"/>
      <c r="V268" s="382"/>
      <c r="W268" s="382"/>
      <c r="X268" s="382"/>
      <c r="Y268" s="382"/>
      <c r="Z268" s="382"/>
      <c r="AA268" s="382"/>
      <c r="AB268" s="382"/>
      <c r="AC268" s="382"/>
      <c r="AD268" s="382"/>
      <c r="AE268" s="382"/>
      <c r="AF268" s="382"/>
      <c r="AG268" s="382"/>
      <c r="AH268" s="382"/>
      <c r="AI268" s="382"/>
      <c r="AJ268" s="382"/>
      <c r="AK268" s="382"/>
      <c r="AL268" s="382"/>
      <c r="AM268" s="382"/>
      <c r="AN268" s="380" t="s">
        <v>881</v>
      </c>
      <c r="AO268" s="380"/>
      <c r="AP268" s="380"/>
      <c r="AQ268" s="380"/>
      <c r="AR268" s="380"/>
      <c r="AS268" s="380"/>
      <c r="AW268" s="25"/>
      <c r="AX268" s="25"/>
    </row>
    <row r="269" spans="1:50" s="19" customFormat="1" x14ac:dyDescent="0.25">
      <c r="A269" s="170"/>
      <c r="B269" s="170"/>
      <c r="C269" s="382" t="s">
        <v>932</v>
      </c>
      <c r="D269" s="382"/>
      <c r="E269" s="382"/>
      <c r="F269" s="382"/>
      <c r="G269" s="382"/>
      <c r="H269" s="382"/>
      <c r="I269" s="382"/>
      <c r="J269" s="382"/>
      <c r="K269" s="382"/>
      <c r="L269" s="382"/>
      <c r="M269" s="382"/>
      <c r="N269" s="382"/>
      <c r="O269" s="382"/>
      <c r="P269" s="382"/>
      <c r="Q269" s="382"/>
      <c r="R269" s="382"/>
      <c r="S269" s="382"/>
      <c r="T269" s="382"/>
      <c r="U269" s="382"/>
      <c r="V269" s="382"/>
      <c r="W269" s="382"/>
      <c r="X269" s="382"/>
      <c r="Y269" s="382"/>
      <c r="Z269" s="382"/>
      <c r="AA269" s="382"/>
      <c r="AB269" s="382"/>
      <c r="AC269" s="382"/>
      <c r="AD269" s="382"/>
      <c r="AE269" s="382"/>
      <c r="AF269" s="382"/>
      <c r="AG269" s="382"/>
      <c r="AH269" s="382"/>
      <c r="AI269" s="382"/>
      <c r="AJ269" s="382"/>
      <c r="AK269" s="382"/>
      <c r="AL269" s="382"/>
      <c r="AM269" s="382"/>
      <c r="AN269" s="380" t="s">
        <v>881</v>
      </c>
      <c r="AO269" s="380"/>
      <c r="AP269" s="380"/>
      <c r="AQ269" s="380"/>
      <c r="AR269" s="380"/>
      <c r="AS269" s="380"/>
      <c r="AW269" s="25"/>
      <c r="AX269" s="25"/>
    </row>
    <row r="270" spans="1:50" s="19" customFormat="1" ht="25.5" customHeight="1" x14ac:dyDescent="0.25">
      <c r="A270" s="170"/>
      <c r="B270" s="170"/>
      <c r="C270" s="703" t="s">
        <v>104</v>
      </c>
      <c r="D270" s="703"/>
      <c r="E270" s="703"/>
      <c r="F270" s="703"/>
      <c r="G270" s="703"/>
      <c r="H270" s="703"/>
      <c r="I270" s="703"/>
      <c r="J270" s="703"/>
      <c r="K270" s="703"/>
      <c r="L270" s="703"/>
      <c r="M270" s="703"/>
      <c r="N270" s="703"/>
      <c r="O270" s="703"/>
      <c r="P270" s="703"/>
      <c r="Q270" s="703"/>
      <c r="R270" s="703"/>
      <c r="S270" s="703"/>
      <c r="T270" s="703"/>
      <c r="U270" s="703"/>
      <c r="V270" s="703"/>
      <c r="W270" s="703"/>
      <c r="X270" s="703"/>
      <c r="Y270" s="703"/>
      <c r="Z270" s="703"/>
      <c r="AA270" s="703"/>
      <c r="AB270" s="703"/>
      <c r="AC270" s="703"/>
      <c r="AD270" s="703"/>
      <c r="AE270" s="703"/>
      <c r="AF270" s="703"/>
      <c r="AG270" s="703"/>
      <c r="AH270" s="703"/>
      <c r="AI270" s="703"/>
      <c r="AJ270" s="703"/>
      <c r="AK270" s="703"/>
      <c r="AL270" s="703"/>
      <c r="AM270" s="703"/>
      <c r="AN270" s="703"/>
      <c r="AO270" s="703"/>
      <c r="AP270" s="703"/>
      <c r="AQ270" s="703"/>
      <c r="AR270" s="703"/>
      <c r="AS270" s="703"/>
      <c r="AW270" s="25"/>
      <c r="AX270" s="25"/>
    </row>
    <row r="271" spans="1:50" s="19" customFormat="1" x14ac:dyDescent="0.25">
      <c r="A271" s="170"/>
      <c r="B271" s="17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W271" s="25"/>
      <c r="AX271" s="25"/>
    </row>
    <row r="272" spans="1:50" s="239" customFormat="1" x14ac:dyDescent="0.25">
      <c r="A272" s="17"/>
      <c r="B272" s="17"/>
      <c r="C272" s="240" t="s">
        <v>65</v>
      </c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2"/>
    </row>
    <row r="273" spans="1:50" s="19" customFormat="1" ht="39" customHeight="1" x14ac:dyDescent="0.25">
      <c r="A273" s="170"/>
      <c r="B273" s="170"/>
      <c r="C273" s="369" t="s">
        <v>105</v>
      </c>
      <c r="D273" s="370"/>
      <c r="E273" s="370"/>
      <c r="F273" s="370"/>
      <c r="G273" s="370"/>
      <c r="H273" s="370"/>
      <c r="I273" s="37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W273" s="25"/>
      <c r="AX273" s="25"/>
    </row>
    <row r="274" spans="1:50" s="180" customFormat="1" x14ac:dyDescent="0.25">
      <c r="A274" s="7"/>
      <c r="B274" s="7"/>
      <c r="C274" s="375" t="s">
        <v>106</v>
      </c>
      <c r="D274" s="375"/>
      <c r="E274" s="375"/>
      <c r="F274" s="375"/>
      <c r="G274" s="375"/>
      <c r="H274" s="375"/>
      <c r="I274" s="375"/>
      <c r="J274" s="558" t="s">
        <v>907</v>
      </c>
      <c r="K274" s="558"/>
      <c r="L274" s="558"/>
      <c r="M274" s="558"/>
      <c r="N274" s="558"/>
      <c r="O274" s="558"/>
      <c r="P274" s="558"/>
      <c r="Q274" s="558"/>
      <c r="R274" s="558"/>
      <c r="S274" s="558"/>
      <c r="T274" s="558"/>
      <c r="U274" s="558"/>
      <c r="V274" s="558"/>
      <c r="W274" s="558"/>
      <c r="X274" s="558"/>
      <c r="Y274" s="558"/>
      <c r="Z274" s="558"/>
      <c r="AA274" s="558"/>
      <c r="AB274" s="558"/>
      <c r="AC274" s="558"/>
      <c r="AD274" s="558"/>
      <c r="AE274" s="558"/>
      <c r="AF274" s="558"/>
      <c r="AG274" s="558"/>
      <c r="AH274" s="558"/>
      <c r="AI274" s="558"/>
      <c r="AJ274" s="558"/>
      <c r="AK274" s="558"/>
      <c r="AL274" s="558"/>
      <c r="AM274" s="558"/>
      <c r="AN274" s="558"/>
      <c r="AO274" s="558"/>
      <c r="AP274" s="558"/>
      <c r="AQ274" s="558"/>
      <c r="AR274" s="558"/>
      <c r="AS274" s="558"/>
    </row>
    <row r="275" spans="1:50" s="180" customFormat="1" x14ac:dyDescent="0.25">
      <c r="A275" s="170"/>
      <c r="B275" s="170"/>
      <c r="C275" s="375"/>
      <c r="D275" s="375"/>
      <c r="E275" s="375"/>
      <c r="F275" s="375"/>
      <c r="G275" s="375"/>
      <c r="H275" s="375"/>
      <c r="I275" s="375"/>
      <c r="J275" s="557" t="s">
        <v>107</v>
      </c>
      <c r="K275" s="557"/>
      <c r="L275" s="557"/>
      <c r="M275" s="557"/>
      <c r="N275" s="557"/>
      <c r="O275" s="557"/>
      <c r="P275" s="557"/>
      <c r="Q275" s="557"/>
      <c r="R275" s="557"/>
      <c r="S275" s="557"/>
      <c r="T275" s="557"/>
      <c r="U275" s="557"/>
      <c r="V275" s="557" t="s">
        <v>108</v>
      </c>
      <c r="W275" s="557"/>
      <c r="X275" s="557"/>
      <c r="Y275" s="557"/>
      <c r="Z275" s="557"/>
      <c r="AA275" s="557"/>
      <c r="AB275" s="557"/>
      <c r="AC275" s="557"/>
      <c r="AD275" s="557"/>
      <c r="AE275" s="557"/>
      <c r="AF275" s="557"/>
      <c r="AG275" s="557"/>
      <c r="AH275" s="557" t="s">
        <v>109</v>
      </c>
      <c r="AI275" s="557"/>
      <c r="AJ275" s="557"/>
      <c r="AK275" s="557"/>
      <c r="AL275" s="557"/>
      <c r="AM275" s="557"/>
      <c r="AN275" s="557"/>
      <c r="AO275" s="557"/>
      <c r="AP275" s="557"/>
      <c r="AQ275" s="557"/>
      <c r="AR275" s="557"/>
      <c r="AS275" s="557"/>
    </row>
    <row r="276" spans="1:50" s="180" customFormat="1" x14ac:dyDescent="0.25">
      <c r="A276" s="170"/>
      <c r="B276" s="170"/>
      <c r="C276" s="375"/>
      <c r="D276" s="375"/>
      <c r="E276" s="375"/>
      <c r="F276" s="375"/>
      <c r="G276" s="375"/>
      <c r="H276" s="375"/>
      <c r="I276" s="375"/>
      <c r="J276" s="557" t="s">
        <v>110</v>
      </c>
      <c r="K276" s="557"/>
      <c r="L276" s="557"/>
      <c r="M276" s="557"/>
      <c r="N276" s="557"/>
      <c r="O276" s="557"/>
      <c r="P276" s="557" t="s">
        <v>111</v>
      </c>
      <c r="Q276" s="557"/>
      <c r="R276" s="557"/>
      <c r="S276" s="557"/>
      <c r="T276" s="557"/>
      <c r="U276" s="557"/>
      <c r="V276" s="557" t="s">
        <v>110</v>
      </c>
      <c r="W276" s="557"/>
      <c r="X276" s="557"/>
      <c r="Y276" s="557"/>
      <c r="Z276" s="557"/>
      <c r="AA276" s="557"/>
      <c r="AB276" s="557" t="s">
        <v>111</v>
      </c>
      <c r="AC276" s="557"/>
      <c r="AD276" s="557"/>
      <c r="AE276" s="557"/>
      <c r="AF276" s="557"/>
      <c r="AG276" s="557"/>
      <c r="AH276" s="557" t="s">
        <v>110</v>
      </c>
      <c r="AI276" s="557"/>
      <c r="AJ276" s="557"/>
      <c r="AK276" s="557"/>
      <c r="AL276" s="557"/>
      <c r="AM276" s="557"/>
      <c r="AN276" s="557" t="s">
        <v>111</v>
      </c>
      <c r="AO276" s="557"/>
      <c r="AP276" s="557"/>
      <c r="AQ276" s="557"/>
      <c r="AR276" s="557"/>
      <c r="AS276" s="557"/>
    </row>
    <row r="277" spans="1:50" s="180" customFormat="1" x14ac:dyDescent="0.25">
      <c r="A277" s="271"/>
      <c r="B277" s="271"/>
      <c r="C277" s="375">
        <v>15</v>
      </c>
      <c r="D277" s="375"/>
      <c r="E277" s="375"/>
      <c r="F277" s="375"/>
      <c r="G277" s="375"/>
      <c r="H277" s="375"/>
      <c r="I277" s="375"/>
      <c r="J277" s="559" t="s">
        <v>925</v>
      </c>
      <c r="K277" s="385"/>
      <c r="L277" s="385"/>
      <c r="M277" s="385"/>
      <c r="N277" s="385"/>
      <c r="O277" s="386"/>
      <c r="P277" s="384">
        <f>VLOOKUP("00-00039333",'Выгрузка из 1С'!$B$4:$K$1976,10,FALSE)</f>
        <v>984</v>
      </c>
      <c r="Q277" s="385"/>
      <c r="R277" s="385"/>
      <c r="S277" s="385"/>
      <c r="T277" s="385"/>
      <c r="U277" s="386"/>
      <c r="V277" s="559" t="s">
        <v>925</v>
      </c>
      <c r="W277" s="385"/>
      <c r="X277" s="385"/>
      <c r="Y277" s="385"/>
      <c r="Z277" s="385"/>
      <c r="AA277" s="386"/>
      <c r="AB277" s="384">
        <f>VLOOKUP("00-00182382",'Выгрузка из 1С'!$B$4:$K$1976,10,FALSE)</f>
        <v>1560</v>
      </c>
      <c r="AC277" s="385"/>
      <c r="AD277" s="385"/>
      <c r="AE277" s="385"/>
      <c r="AF277" s="385"/>
      <c r="AG277" s="386"/>
      <c r="AH277" s="559" t="s">
        <v>925</v>
      </c>
      <c r="AI277" s="385"/>
      <c r="AJ277" s="385"/>
      <c r="AK277" s="385"/>
      <c r="AL277" s="385"/>
      <c r="AM277" s="386"/>
      <c r="AN277" s="384">
        <f>VLOOKUP("УТ-00176245",'Выгрузка из 1С'!$B$4:$K$1976,10,FALSE)</f>
        <v>2016</v>
      </c>
      <c r="AO277" s="385"/>
      <c r="AP277" s="385"/>
      <c r="AQ277" s="385"/>
      <c r="AR277" s="385"/>
      <c r="AS277" s="386"/>
    </row>
    <row r="278" spans="1:50" s="180" customFormat="1" x14ac:dyDescent="0.25">
      <c r="A278" s="170"/>
      <c r="B278" s="170"/>
      <c r="C278" s="375">
        <v>20</v>
      </c>
      <c r="D278" s="375"/>
      <c r="E278" s="375"/>
      <c r="F278" s="375"/>
      <c r="G278" s="375"/>
      <c r="H278" s="375"/>
      <c r="I278" s="375"/>
      <c r="J278" s="384">
        <f>VLOOKUP("00-00039328",'Выгрузка из 1С'!$B$4:$K$1976,10,FALSE)</f>
        <v>1104</v>
      </c>
      <c r="K278" s="385"/>
      <c r="L278" s="385"/>
      <c r="M278" s="385"/>
      <c r="N278" s="385"/>
      <c r="O278" s="386"/>
      <c r="P278" s="384">
        <f>VLOOKUP("00-00039333",'Выгрузка из 1С'!$B$4:$K$1976,10,FALSE)</f>
        <v>984</v>
      </c>
      <c r="Q278" s="385"/>
      <c r="R278" s="385"/>
      <c r="S278" s="385"/>
      <c r="T278" s="385"/>
      <c r="U278" s="386"/>
      <c r="V278" s="384">
        <f>VLOOKUP("00-00039337",'Выгрузка из 1С'!$B$4:$K$1976,10,FALSE)</f>
        <v>1920</v>
      </c>
      <c r="W278" s="385"/>
      <c r="X278" s="385"/>
      <c r="Y278" s="385"/>
      <c r="Z278" s="385"/>
      <c r="AA278" s="386"/>
      <c r="AB278" s="384">
        <f>VLOOKUP("00-00039374",'Выгрузка из 1С'!$B$4:$K$1976,10,FALSE)</f>
        <v>1860</v>
      </c>
      <c r="AC278" s="385"/>
      <c r="AD278" s="385"/>
      <c r="AE278" s="385"/>
      <c r="AF278" s="385"/>
      <c r="AG278" s="386"/>
      <c r="AH278" s="384">
        <f>VLOOKUP("00-00039323",'Выгрузка из 1С'!$B$4:$K$1976,10,FALSE)</f>
        <v>2016</v>
      </c>
      <c r="AI278" s="385"/>
      <c r="AJ278" s="385"/>
      <c r="AK278" s="385"/>
      <c r="AL278" s="385"/>
      <c r="AM278" s="386"/>
      <c r="AN278" s="384">
        <f>VLOOKUP("00-00039370",'Выгрузка из 1С'!$B$4:$K$1976,10,FALSE)</f>
        <v>2160</v>
      </c>
      <c r="AO278" s="385"/>
      <c r="AP278" s="385"/>
      <c r="AQ278" s="385"/>
      <c r="AR278" s="385"/>
      <c r="AS278" s="386"/>
    </row>
    <row r="279" spans="1:50" s="180" customFormat="1" x14ac:dyDescent="0.25">
      <c r="A279" s="271"/>
      <c r="B279" s="271"/>
      <c r="C279" s="375">
        <v>25</v>
      </c>
      <c r="D279" s="375"/>
      <c r="E279" s="375"/>
      <c r="F279" s="375"/>
      <c r="G279" s="375"/>
      <c r="H279" s="375"/>
      <c r="I279" s="375"/>
      <c r="J279" s="559" t="s">
        <v>925</v>
      </c>
      <c r="K279" s="385"/>
      <c r="L279" s="385"/>
      <c r="M279" s="385"/>
      <c r="N279" s="385"/>
      <c r="O279" s="386"/>
      <c r="P279" s="384">
        <f>VLOOKUP("00-00039333",'Выгрузка из 1С'!$B$4:$K$1976,10,FALSE)</f>
        <v>984</v>
      </c>
      <c r="Q279" s="385"/>
      <c r="R279" s="385"/>
      <c r="S279" s="385"/>
      <c r="T279" s="385"/>
      <c r="U279" s="386"/>
      <c r="V279" s="559" t="s">
        <v>925</v>
      </c>
      <c r="W279" s="385"/>
      <c r="X279" s="385"/>
      <c r="Y279" s="385"/>
      <c r="Z279" s="385"/>
      <c r="AA279" s="386"/>
      <c r="AB279" s="384">
        <f>VLOOKUP("УТ-00170220",'Выгрузка из 1С'!$B$4:$K$1976,10,FALSE)</f>
        <v>2580</v>
      </c>
      <c r="AC279" s="385"/>
      <c r="AD279" s="385"/>
      <c r="AE279" s="385"/>
      <c r="AF279" s="385"/>
      <c r="AG279" s="386"/>
      <c r="AH279" s="559" t="s">
        <v>925</v>
      </c>
      <c r="AI279" s="385"/>
      <c r="AJ279" s="385"/>
      <c r="AK279" s="385"/>
      <c r="AL279" s="385"/>
      <c r="AM279" s="386"/>
      <c r="AN279" s="384">
        <f>VLOOKUP("00-00182374",'Выгрузка из 1С'!$B$4:$K$1976,10,FALSE)</f>
        <v>3228</v>
      </c>
      <c r="AO279" s="385"/>
      <c r="AP279" s="385"/>
      <c r="AQ279" s="385"/>
      <c r="AR279" s="385"/>
      <c r="AS279" s="386"/>
    </row>
    <row r="280" spans="1:50" s="180" customFormat="1" x14ac:dyDescent="0.25">
      <c r="A280" s="170"/>
      <c r="B280" s="170"/>
      <c r="C280" s="375">
        <v>32</v>
      </c>
      <c r="D280" s="375"/>
      <c r="E280" s="375"/>
      <c r="F280" s="375"/>
      <c r="G280" s="375"/>
      <c r="H280" s="375"/>
      <c r="I280" s="375"/>
      <c r="J280" s="384">
        <f>VLOOKUP("00-00039329",'Выгрузка из 1С'!$B$4:$K$1976,10,FALSE)</f>
        <v>2220</v>
      </c>
      <c r="K280" s="385"/>
      <c r="L280" s="385"/>
      <c r="M280" s="385"/>
      <c r="N280" s="385"/>
      <c r="O280" s="386"/>
      <c r="P280" s="384">
        <f>VLOOKUP("00-00039334",'Выгрузка из 1С'!$B$4:$K$1976,10,FALSE)</f>
        <v>1140</v>
      </c>
      <c r="Q280" s="385"/>
      <c r="R280" s="385"/>
      <c r="S280" s="385"/>
      <c r="T280" s="385"/>
      <c r="U280" s="386"/>
      <c r="V280" s="384">
        <f>VLOOKUP("00-00039338",'Выгрузка из 1С'!$B$4:$K$1976,10,FALSE)</f>
        <v>3900</v>
      </c>
      <c r="W280" s="385"/>
      <c r="X280" s="385"/>
      <c r="Y280" s="385"/>
      <c r="Z280" s="385"/>
      <c r="AA280" s="386"/>
      <c r="AB280" s="384">
        <f>VLOOKUP("00-00039375",'Выгрузка из 1С'!$B$4:$K$1976,10,FALSE)</f>
        <v>2640</v>
      </c>
      <c r="AC280" s="385"/>
      <c r="AD280" s="385"/>
      <c r="AE280" s="385"/>
      <c r="AF280" s="385"/>
      <c r="AG280" s="386"/>
      <c r="AH280" s="384">
        <f>VLOOKUP("00-00039324",'Выгрузка из 1С'!$B$4:$K$1976,10,FALSE)</f>
        <v>2160</v>
      </c>
      <c r="AI280" s="385"/>
      <c r="AJ280" s="385"/>
      <c r="AK280" s="385"/>
      <c r="AL280" s="385"/>
      <c r="AM280" s="386"/>
      <c r="AN280" s="384">
        <f>VLOOKUP("00-00039371",'Выгрузка из 1С'!$B$4:$K$1976,10,FALSE)</f>
        <v>3360</v>
      </c>
      <c r="AO280" s="385"/>
      <c r="AP280" s="385"/>
      <c r="AQ280" s="385"/>
      <c r="AR280" s="385"/>
      <c r="AS280" s="386"/>
    </row>
    <row r="281" spans="1:50" s="180" customFormat="1" x14ac:dyDescent="0.25">
      <c r="A281" s="170"/>
      <c r="B281" s="170"/>
      <c r="C281" s="375">
        <v>40</v>
      </c>
      <c r="D281" s="375"/>
      <c r="E281" s="375"/>
      <c r="F281" s="375"/>
      <c r="G281" s="375"/>
      <c r="H281" s="375"/>
      <c r="I281" s="375"/>
      <c r="J281" s="384">
        <f>VLOOKUP("00-00182377",'Выгрузка из 1С'!$B$4:$K$1976,10,FALSE)</f>
        <v>3480</v>
      </c>
      <c r="K281" s="385"/>
      <c r="L281" s="385"/>
      <c r="M281" s="385"/>
      <c r="N281" s="385"/>
      <c r="O281" s="386"/>
      <c r="P281" s="384">
        <f>VLOOKUP("00-00039334",'Выгрузка из 1С'!$B$4:$K$1976,10,FALSE)</f>
        <v>1140</v>
      </c>
      <c r="Q281" s="385"/>
      <c r="R281" s="385"/>
      <c r="S281" s="385"/>
      <c r="T281" s="385"/>
      <c r="U281" s="386"/>
      <c r="V281" s="384">
        <f>VLOOKUP("00-00198731",'Выгрузка из 1С'!$B$4:$K$1976,10,FALSE)</f>
        <v>0</v>
      </c>
      <c r="W281" s="385"/>
      <c r="X281" s="385"/>
      <c r="Y281" s="385"/>
      <c r="Z281" s="385"/>
      <c r="AA281" s="386"/>
      <c r="AB281" s="384">
        <f>VLOOKUP("00-00039343",'Выгрузка из 1С'!$B$4:$K$1976,10,FALSE)</f>
        <v>3000</v>
      </c>
      <c r="AC281" s="385"/>
      <c r="AD281" s="385"/>
      <c r="AE281" s="385"/>
      <c r="AF281" s="385"/>
      <c r="AG281" s="386"/>
      <c r="AH281" s="384">
        <f>VLOOKUP("00-00182375",'Выгрузка из 1С'!$B$4:$K$1976,10,FALSE)</f>
        <v>2556</v>
      </c>
      <c r="AI281" s="385"/>
      <c r="AJ281" s="385"/>
      <c r="AK281" s="385"/>
      <c r="AL281" s="385"/>
      <c r="AM281" s="386"/>
      <c r="AN281" s="384">
        <f>VLOOKUP("00-00039291",'Выгрузка из 1С'!$B$4:$K$1976,10,FALSE)</f>
        <v>3768</v>
      </c>
      <c r="AO281" s="385"/>
      <c r="AP281" s="385"/>
      <c r="AQ281" s="385"/>
      <c r="AR281" s="385"/>
      <c r="AS281" s="386"/>
    </row>
    <row r="282" spans="1:50" s="180" customFormat="1" x14ac:dyDescent="0.25">
      <c r="A282" s="170"/>
      <c r="B282" s="170"/>
      <c r="C282" s="375">
        <v>50</v>
      </c>
      <c r="D282" s="375"/>
      <c r="E282" s="375"/>
      <c r="F282" s="375"/>
      <c r="G282" s="375"/>
      <c r="H282" s="375"/>
      <c r="I282" s="375"/>
      <c r="J282" s="384">
        <f>VLOOKUP("00-00039330",'Выгрузка из 1С'!$B$4:$K$1976,10,FALSE)</f>
        <v>3480</v>
      </c>
      <c r="K282" s="385"/>
      <c r="L282" s="385"/>
      <c r="M282" s="385"/>
      <c r="N282" s="385"/>
      <c r="O282" s="386"/>
      <c r="P282" s="384">
        <f>VLOOKUP("00-00039335",'Выгрузка из 1С'!$B$4:$K$1976,10,FALSE)</f>
        <v>1200</v>
      </c>
      <c r="Q282" s="385"/>
      <c r="R282" s="385"/>
      <c r="S282" s="385"/>
      <c r="T282" s="385"/>
      <c r="U282" s="386"/>
      <c r="V282" s="384">
        <f>VLOOKUP("00-00039339",'Выгрузка из 1С'!$B$4:$K$1976,10,FALSE)</f>
        <v>5340</v>
      </c>
      <c r="W282" s="385"/>
      <c r="X282" s="385"/>
      <c r="Y282" s="385"/>
      <c r="Z282" s="385"/>
      <c r="AA282" s="386"/>
      <c r="AB282" s="384">
        <f>VLOOKUP("00-00039344",'Выгрузка из 1С'!$B$4:$K$1976,10,FALSE)</f>
        <v>3840</v>
      </c>
      <c r="AC282" s="385"/>
      <c r="AD282" s="385"/>
      <c r="AE282" s="385"/>
      <c r="AF282" s="385"/>
      <c r="AG282" s="386"/>
      <c r="AH282" s="384">
        <f>VLOOKUP("00-00039325",'Выгрузка из 1С'!$B$4:$K$1976,10,FALSE)</f>
        <v>2832</v>
      </c>
      <c r="AI282" s="385"/>
      <c r="AJ282" s="385"/>
      <c r="AK282" s="385"/>
      <c r="AL282" s="385"/>
      <c r="AM282" s="386"/>
      <c r="AN282" s="384">
        <f>VLOOKUP("00-00039292",'Выгрузка из 1С'!$B$4:$K$1976,10,FALSE)</f>
        <v>4368</v>
      </c>
      <c r="AO282" s="385"/>
      <c r="AP282" s="385"/>
      <c r="AQ282" s="385"/>
      <c r="AR282" s="385"/>
      <c r="AS282" s="386"/>
    </row>
    <row r="283" spans="1:50" s="180" customFormat="1" x14ac:dyDescent="0.25">
      <c r="A283" s="170"/>
      <c r="B283" s="170"/>
      <c r="C283" s="375">
        <v>65</v>
      </c>
      <c r="D283" s="375"/>
      <c r="E283" s="375"/>
      <c r="F283" s="375"/>
      <c r="G283" s="375"/>
      <c r="H283" s="375"/>
      <c r="I283" s="375"/>
      <c r="J283" s="384">
        <f>VLOOKUP("00-00182377",'Выгрузка из 1С'!$B$4:$K$1976,10,FALSE)</f>
        <v>3480</v>
      </c>
      <c r="K283" s="385"/>
      <c r="L283" s="385"/>
      <c r="M283" s="385"/>
      <c r="N283" s="385"/>
      <c r="O283" s="386"/>
      <c r="P283" s="384">
        <f>VLOOKUP("00-00039335",'Выгрузка из 1С'!$B$4:$K$1976,10,FALSE)</f>
        <v>1200</v>
      </c>
      <c r="Q283" s="385"/>
      <c r="R283" s="385"/>
      <c r="S283" s="385"/>
      <c r="T283" s="385"/>
      <c r="U283" s="386"/>
      <c r="V283" s="384">
        <f>VLOOKUP("00-00198732",'Выгрузка из 1С'!$B$4:$K$1976,10,FALSE)</f>
        <v>0</v>
      </c>
      <c r="W283" s="385"/>
      <c r="X283" s="385"/>
      <c r="Y283" s="385"/>
      <c r="Z283" s="385"/>
      <c r="AA283" s="386"/>
      <c r="AB283" s="384">
        <f>VLOOKUP("00-00039345",'Выгрузка из 1С'!$B$4:$K$1976,10,FALSE)</f>
        <v>4560</v>
      </c>
      <c r="AC283" s="385"/>
      <c r="AD283" s="385"/>
      <c r="AE283" s="385"/>
      <c r="AF283" s="385"/>
      <c r="AG283" s="386"/>
      <c r="AH283" s="384">
        <f>VLOOKUP("00-00182376",'Выгрузка из 1С'!$B$4:$K$1976,10,FALSE)</f>
        <v>3504</v>
      </c>
      <c r="AI283" s="385"/>
      <c r="AJ283" s="385"/>
      <c r="AK283" s="385"/>
      <c r="AL283" s="385"/>
      <c r="AM283" s="386"/>
      <c r="AN283" s="384">
        <f>VLOOKUP("00-00039293",'Выгрузка из 1С'!$B$4:$K$1976,10,FALSE)</f>
        <v>6192</v>
      </c>
      <c r="AO283" s="385"/>
      <c r="AP283" s="385"/>
      <c r="AQ283" s="385"/>
      <c r="AR283" s="385"/>
      <c r="AS283" s="386"/>
    </row>
    <row r="284" spans="1:50" s="180" customFormat="1" x14ac:dyDescent="0.25">
      <c r="A284" s="170"/>
      <c r="B284" s="170"/>
      <c r="C284" s="375">
        <v>80</v>
      </c>
      <c r="D284" s="375"/>
      <c r="E284" s="375"/>
      <c r="F284" s="375"/>
      <c r="G284" s="375"/>
      <c r="H284" s="375"/>
      <c r="I284" s="375"/>
      <c r="J284" s="384">
        <f>VLOOKUP("00-00039331",'Выгрузка из 1С'!$B$4:$K$1976,10,FALSE)</f>
        <v>5520</v>
      </c>
      <c r="K284" s="385"/>
      <c r="L284" s="385"/>
      <c r="M284" s="385"/>
      <c r="N284" s="385"/>
      <c r="O284" s="386"/>
      <c r="P284" s="384">
        <f>VLOOKUP("00-00039373",'Выгрузка из 1С'!$B$4:$K$1976,10,FALSE)</f>
        <v>2340</v>
      </c>
      <c r="Q284" s="385"/>
      <c r="R284" s="385"/>
      <c r="S284" s="385"/>
      <c r="T284" s="385"/>
      <c r="U284" s="386"/>
      <c r="V284" s="384">
        <f>VLOOKUP("00-00039340",'Выгрузка из 1С'!$B$4:$K$1976,10,FALSE)</f>
        <v>10020</v>
      </c>
      <c r="W284" s="385"/>
      <c r="X284" s="385"/>
      <c r="Y284" s="385"/>
      <c r="Z284" s="385"/>
      <c r="AA284" s="386"/>
      <c r="AB284" s="384">
        <f>VLOOKUP("00-00039346",'Выгрузка из 1С'!$B$4:$K$1976,10,FALSE)</f>
        <v>10020</v>
      </c>
      <c r="AC284" s="385"/>
      <c r="AD284" s="385"/>
      <c r="AE284" s="385"/>
      <c r="AF284" s="385"/>
      <c r="AG284" s="386"/>
      <c r="AH284" s="384">
        <f>VLOOKUP("00-00039326",'Выгрузка из 1С'!$B$4:$K$1976,10,FALSE)</f>
        <v>4032</v>
      </c>
      <c r="AI284" s="385"/>
      <c r="AJ284" s="385"/>
      <c r="AK284" s="385"/>
      <c r="AL284" s="385"/>
      <c r="AM284" s="386"/>
      <c r="AN284" s="384">
        <f>VLOOKUP("00-00039372",'Выгрузка из 1С'!$B$4:$K$1976,10,FALSE)</f>
        <v>6720</v>
      </c>
      <c r="AO284" s="385"/>
      <c r="AP284" s="385"/>
      <c r="AQ284" s="385"/>
      <c r="AR284" s="385"/>
      <c r="AS284" s="386"/>
    </row>
    <row r="285" spans="1:50" s="180" customFormat="1" x14ac:dyDescent="0.25">
      <c r="A285" s="170"/>
      <c r="B285" s="170"/>
      <c r="C285" s="375">
        <v>100</v>
      </c>
      <c r="D285" s="375"/>
      <c r="E285" s="375"/>
      <c r="F285" s="375"/>
      <c r="G285" s="375"/>
      <c r="H285" s="375"/>
      <c r="I285" s="375"/>
      <c r="J285" s="384">
        <f>VLOOKUP("00-00039327",'Выгрузка из 1С'!$B$4:$K$1976,10,FALSE)</f>
        <v>5940</v>
      </c>
      <c r="K285" s="385"/>
      <c r="L285" s="385"/>
      <c r="M285" s="385"/>
      <c r="N285" s="385"/>
      <c r="O285" s="386"/>
      <c r="P285" s="384">
        <f>VLOOKUP("УТ-00139297",'Выгрузка из 1С'!$B$4:$K$1976,10,FALSE)</f>
        <v>2400</v>
      </c>
      <c r="Q285" s="385"/>
      <c r="R285" s="385"/>
      <c r="S285" s="385"/>
      <c r="T285" s="385"/>
      <c r="U285" s="386"/>
      <c r="V285" s="384">
        <f>VLOOKUP("00-00039336",'Выгрузка из 1С'!$B$4:$K$1976,10,FALSE)</f>
        <v>10680</v>
      </c>
      <c r="W285" s="385"/>
      <c r="X285" s="385"/>
      <c r="Y285" s="385"/>
      <c r="Z285" s="385"/>
      <c r="AA285" s="386"/>
      <c r="AB285" s="384">
        <f>VLOOKUP("00-00039341",'Выгрузка из 1С'!$B$4:$K$1976,10,FALSE)</f>
        <v>10680</v>
      </c>
      <c r="AC285" s="385"/>
      <c r="AD285" s="385"/>
      <c r="AE285" s="385"/>
      <c r="AF285" s="385"/>
      <c r="AG285" s="386"/>
      <c r="AH285" s="384">
        <f>VLOOKUP("00-00039322",'Выгрузка из 1С'!$B$4:$K$1976,10,FALSE)</f>
        <v>5652</v>
      </c>
      <c r="AI285" s="385"/>
      <c r="AJ285" s="385"/>
      <c r="AK285" s="385"/>
      <c r="AL285" s="385"/>
      <c r="AM285" s="386"/>
      <c r="AN285" s="384">
        <f>VLOOKUP("00-00180518",'Выгрузка из 1С'!$B$4:$K$1976,10,FALSE)</f>
        <v>8736</v>
      </c>
      <c r="AO285" s="385"/>
      <c r="AP285" s="385"/>
      <c r="AQ285" s="385"/>
      <c r="AR285" s="385"/>
      <c r="AS285" s="386"/>
    </row>
    <row r="286" spans="1:50" s="180" customFormat="1" x14ac:dyDescent="0.25">
      <c r="A286" s="271"/>
      <c r="B286" s="271"/>
      <c r="C286" s="375">
        <v>150</v>
      </c>
      <c r="D286" s="375"/>
      <c r="E286" s="375"/>
      <c r="F286" s="375"/>
      <c r="G286" s="375"/>
      <c r="H286" s="375"/>
      <c r="I286" s="375"/>
      <c r="J286" s="559" t="s">
        <v>925</v>
      </c>
      <c r="K286" s="385"/>
      <c r="L286" s="385"/>
      <c r="M286" s="385"/>
      <c r="N286" s="385"/>
      <c r="O286" s="386"/>
      <c r="P286" s="384">
        <f>VLOOKUP("00-00039332",'Выгрузка из 1С'!$B$4:$K$1976,10,FALSE)</f>
        <v>0</v>
      </c>
      <c r="Q286" s="385"/>
      <c r="R286" s="385"/>
      <c r="S286" s="385"/>
      <c r="T286" s="385"/>
      <c r="U286" s="386"/>
      <c r="V286" s="559" t="s">
        <v>925</v>
      </c>
      <c r="W286" s="385"/>
      <c r="X286" s="385"/>
      <c r="Y286" s="385"/>
      <c r="Z286" s="385"/>
      <c r="AA286" s="386"/>
      <c r="AB286" s="384">
        <f>VLOOKUP("00-00039342",'Выгрузка из 1С'!$B$4:$K$1976,10,FALSE)</f>
        <v>12000</v>
      </c>
      <c r="AC286" s="385"/>
      <c r="AD286" s="385"/>
      <c r="AE286" s="385"/>
      <c r="AF286" s="385"/>
      <c r="AG286" s="386"/>
      <c r="AH286" s="559" t="s">
        <v>925</v>
      </c>
      <c r="AI286" s="385"/>
      <c r="AJ286" s="385"/>
      <c r="AK286" s="385"/>
      <c r="AL286" s="385"/>
      <c r="AM286" s="386"/>
      <c r="AN286" s="384">
        <f>VLOOKUP("00-00039290",'Выгрузка из 1С'!$B$4:$K$1976,10,FALSE)</f>
        <v>12768</v>
      </c>
      <c r="AO286" s="385"/>
      <c r="AP286" s="385"/>
      <c r="AQ286" s="385"/>
      <c r="AR286" s="385"/>
      <c r="AS286" s="386"/>
    </row>
    <row r="287" spans="1:50" s="180" customFormat="1" x14ac:dyDescent="0.25">
      <c r="A287" s="271"/>
      <c r="B287" s="271"/>
      <c r="C287" s="375">
        <v>200</v>
      </c>
      <c r="D287" s="375"/>
      <c r="E287" s="375"/>
      <c r="F287" s="375"/>
      <c r="G287" s="375"/>
      <c r="H287" s="375"/>
      <c r="I287" s="375"/>
      <c r="J287" s="559" t="s">
        <v>925</v>
      </c>
      <c r="K287" s="385"/>
      <c r="L287" s="385"/>
      <c r="M287" s="385"/>
      <c r="N287" s="385"/>
      <c r="O287" s="386"/>
      <c r="P287" s="559" t="s">
        <v>881</v>
      </c>
      <c r="Q287" s="385"/>
      <c r="R287" s="385"/>
      <c r="S287" s="385"/>
      <c r="T287" s="385"/>
      <c r="U287" s="386"/>
      <c r="V287" s="559" t="s">
        <v>925</v>
      </c>
      <c r="W287" s="385"/>
      <c r="X287" s="385"/>
      <c r="Y287" s="385"/>
      <c r="Z287" s="385"/>
      <c r="AA287" s="386"/>
      <c r="AB287" s="559" t="s">
        <v>881</v>
      </c>
      <c r="AC287" s="385"/>
      <c r="AD287" s="385"/>
      <c r="AE287" s="385"/>
      <c r="AF287" s="385"/>
      <c r="AG287" s="386"/>
      <c r="AH287" s="559" t="s">
        <v>925</v>
      </c>
      <c r="AI287" s="385"/>
      <c r="AJ287" s="385"/>
      <c r="AK287" s="385"/>
      <c r="AL287" s="385"/>
      <c r="AM287" s="386"/>
      <c r="AN287" s="559" t="s">
        <v>881</v>
      </c>
      <c r="AO287" s="385"/>
      <c r="AP287" s="385"/>
      <c r="AQ287" s="385"/>
      <c r="AR287" s="385"/>
      <c r="AS287" s="386"/>
    </row>
    <row r="288" spans="1:50" s="180" customFormat="1" x14ac:dyDescent="0.25">
      <c r="A288" s="271"/>
      <c r="B288" s="271"/>
      <c r="C288" s="375">
        <v>250</v>
      </c>
      <c r="D288" s="375"/>
      <c r="E288" s="375"/>
      <c r="F288" s="375"/>
      <c r="G288" s="375"/>
      <c r="H288" s="375"/>
      <c r="I288" s="375"/>
      <c r="J288" s="559" t="s">
        <v>925</v>
      </c>
      <c r="K288" s="385"/>
      <c r="L288" s="385"/>
      <c r="M288" s="385"/>
      <c r="N288" s="385"/>
      <c r="O288" s="386"/>
      <c r="P288" s="559" t="s">
        <v>881</v>
      </c>
      <c r="Q288" s="385"/>
      <c r="R288" s="385"/>
      <c r="S288" s="385"/>
      <c r="T288" s="385"/>
      <c r="U288" s="386"/>
      <c r="V288" s="559" t="s">
        <v>925</v>
      </c>
      <c r="W288" s="385"/>
      <c r="X288" s="385"/>
      <c r="Y288" s="385"/>
      <c r="Z288" s="385"/>
      <c r="AA288" s="386"/>
      <c r="AB288" s="559" t="s">
        <v>881</v>
      </c>
      <c r="AC288" s="385"/>
      <c r="AD288" s="385"/>
      <c r="AE288" s="385"/>
      <c r="AF288" s="385"/>
      <c r="AG288" s="386"/>
      <c r="AH288" s="559" t="s">
        <v>925</v>
      </c>
      <c r="AI288" s="385"/>
      <c r="AJ288" s="385"/>
      <c r="AK288" s="385"/>
      <c r="AL288" s="385"/>
      <c r="AM288" s="386"/>
      <c r="AN288" s="559" t="s">
        <v>881</v>
      </c>
      <c r="AO288" s="385"/>
      <c r="AP288" s="385"/>
      <c r="AQ288" s="385"/>
      <c r="AR288" s="385"/>
      <c r="AS288" s="386"/>
    </row>
    <row r="289" spans="1:50" s="180" customFormat="1" x14ac:dyDescent="0.25">
      <c r="A289" s="170"/>
      <c r="B289" s="170"/>
      <c r="C289" s="375">
        <v>300</v>
      </c>
      <c r="D289" s="375"/>
      <c r="E289" s="375"/>
      <c r="F289" s="375"/>
      <c r="G289" s="375"/>
      <c r="H289" s="375"/>
      <c r="I289" s="375"/>
      <c r="J289" s="559" t="s">
        <v>925</v>
      </c>
      <c r="K289" s="385"/>
      <c r="L289" s="385"/>
      <c r="M289" s="385"/>
      <c r="N289" s="385"/>
      <c r="O289" s="386"/>
      <c r="P289" s="559" t="s">
        <v>881</v>
      </c>
      <c r="Q289" s="385"/>
      <c r="R289" s="385"/>
      <c r="S289" s="385"/>
      <c r="T289" s="385"/>
      <c r="U289" s="386"/>
      <c r="V289" s="559" t="s">
        <v>925</v>
      </c>
      <c r="W289" s="385"/>
      <c r="X289" s="385"/>
      <c r="Y289" s="385"/>
      <c r="Z289" s="385"/>
      <c r="AA289" s="386"/>
      <c r="AB289" s="559" t="s">
        <v>881</v>
      </c>
      <c r="AC289" s="385"/>
      <c r="AD289" s="385"/>
      <c r="AE289" s="385"/>
      <c r="AF289" s="385"/>
      <c r="AG289" s="386"/>
      <c r="AH289" s="559" t="s">
        <v>925</v>
      </c>
      <c r="AI289" s="385"/>
      <c r="AJ289" s="385"/>
      <c r="AK289" s="385"/>
      <c r="AL289" s="385"/>
      <c r="AM289" s="386"/>
      <c r="AN289" s="559" t="s">
        <v>881</v>
      </c>
      <c r="AO289" s="385"/>
      <c r="AP289" s="385"/>
      <c r="AQ289" s="385"/>
      <c r="AR289" s="385"/>
      <c r="AS289" s="386"/>
    </row>
    <row r="290" spans="1:50" s="19" customFormat="1" x14ac:dyDescent="0.25">
      <c r="A290" s="170"/>
      <c r="B290" s="17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</row>
    <row r="291" spans="1:50" s="202" customFormat="1" x14ac:dyDescent="0.25">
      <c r="A291" s="17"/>
      <c r="B291" s="17"/>
      <c r="C291" s="212" t="s">
        <v>112</v>
      </c>
      <c r="D291" s="214"/>
      <c r="E291" s="214"/>
      <c r="F291" s="214"/>
      <c r="G291" s="214"/>
      <c r="H291" s="214"/>
      <c r="I291" s="214"/>
      <c r="J291" s="214"/>
      <c r="K291" s="214"/>
      <c r="L291" s="214"/>
      <c r="M291" s="214"/>
      <c r="N291" s="214"/>
      <c r="O291" s="214"/>
      <c r="P291" s="214"/>
      <c r="Q291" s="214"/>
      <c r="R291" s="214"/>
      <c r="S291" s="214"/>
      <c r="T291" s="214"/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5"/>
    </row>
    <row r="292" spans="1:50" s="180" customFormat="1" x14ac:dyDescent="0.25">
      <c r="A292" s="170"/>
      <c r="B292" s="170"/>
      <c r="C292" s="549" t="s">
        <v>113</v>
      </c>
      <c r="D292" s="549"/>
      <c r="E292" s="549"/>
      <c r="F292" s="549"/>
      <c r="G292" s="549"/>
      <c r="H292" s="549"/>
      <c r="I292" s="549"/>
      <c r="J292" s="561" t="s">
        <v>907</v>
      </c>
      <c r="K292" s="561"/>
      <c r="L292" s="561"/>
      <c r="M292" s="561"/>
      <c r="N292" s="561"/>
      <c r="O292" s="561"/>
      <c r="P292" s="549" t="s">
        <v>113</v>
      </c>
      <c r="Q292" s="549"/>
      <c r="R292" s="549"/>
      <c r="S292" s="549"/>
      <c r="T292" s="549"/>
      <c r="U292" s="549"/>
      <c r="V292" s="549"/>
      <c r="W292" s="549"/>
      <c r="X292" s="549"/>
      <c r="Y292" s="561" t="s">
        <v>907</v>
      </c>
      <c r="Z292" s="561"/>
      <c r="AA292" s="561"/>
      <c r="AB292" s="561"/>
      <c r="AC292" s="561"/>
      <c r="AD292" s="561"/>
      <c r="AE292" s="561"/>
      <c r="AF292" s="561"/>
      <c r="AG292" s="561"/>
      <c r="AH292" s="549" t="s">
        <v>113</v>
      </c>
      <c r="AI292" s="549"/>
      <c r="AJ292" s="549"/>
      <c r="AK292" s="549"/>
      <c r="AL292" s="549"/>
      <c r="AM292" s="549"/>
      <c r="AN292" s="562" t="s">
        <v>907</v>
      </c>
      <c r="AO292" s="562"/>
      <c r="AP292" s="562"/>
      <c r="AQ292" s="562"/>
      <c r="AR292" s="562"/>
      <c r="AS292" s="562"/>
    </row>
    <row r="293" spans="1:50" s="202" customFormat="1" x14ac:dyDescent="0.25">
      <c r="A293" s="170"/>
      <c r="B293" s="170"/>
      <c r="C293" s="375" t="s">
        <v>114</v>
      </c>
      <c r="D293" s="375"/>
      <c r="E293" s="375"/>
      <c r="F293" s="375"/>
      <c r="G293" s="375"/>
      <c r="H293" s="375"/>
      <c r="I293" s="375"/>
      <c r="J293" s="384" t="e">
        <f>VLOOKUP("",'Выгрузка из 1С'!$A:$C,3,FALSE)</f>
        <v>#N/A</v>
      </c>
      <c r="K293" s="385"/>
      <c r="L293" s="385"/>
      <c r="M293" s="385"/>
      <c r="N293" s="385"/>
      <c r="O293" s="386"/>
      <c r="P293" s="375" t="s">
        <v>128</v>
      </c>
      <c r="Q293" s="375"/>
      <c r="R293" s="375"/>
      <c r="S293" s="375"/>
      <c r="T293" s="375"/>
      <c r="U293" s="375"/>
      <c r="V293" s="375"/>
      <c r="W293" s="375"/>
      <c r="X293" s="375"/>
      <c r="Y293" s="384" t="e">
        <v>#N/A</v>
      </c>
      <c r="Z293" s="385"/>
      <c r="AA293" s="385"/>
      <c r="AB293" s="385"/>
      <c r="AC293" s="385"/>
      <c r="AD293" s="385"/>
      <c r="AE293" s="385"/>
      <c r="AF293" s="385"/>
      <c r="AG293" s="386"/>
      <c r="AH293" s="375" t="s">
        <v>142</v>
      </c>
      <c r="AI293" s="375"/>
      <c r="AJ293" s="375"/>
      <c r="AK293" s="375"/>
      <c r="AL293" s="375"/>
      <c r="AM293" s="375"/>
      <c r="AN293" s="560" t="e">
        <v>#N/A</v>
      </c>
      <c r="AO293" s="462"/>
      <c r="AP293" s="462"/>
      <c r="AQ293" s="462"/>
      <c r="AR293" s="462"/>
      <c r="AS293" s="462"/>
      <c r="AT293" s="204"/>
      <c r="AU293" s="204"/>
      <c r="AV293" s="204"/>
    </row>
    <row r="294" spans="1:50" s="202" customFormat="1" x14ac:dyDescent="0.25">
      <c r="A294" s="170"/>
      <c r="B294" s="170"/>
      <c r="C294" s="375" t="s">
        <v>115</v>
      </c>
      <c r="D294" s="375"/>
      <c r="E294" s="375"/>
      <c r="F294" s="375"/>
      <c r="G294" s="375"/>
      <c r="H294" s="375"/>
      <c r="I294" s="375"/>
      <c r="J294" s="384" t="e">
        <f>VLOOKUP("",'Выгрузка из 1С'!$A:$C,3,FALSE)</f>
        <v>#N/A</v>
      </c>
      <c r="K294" s="385"/>
      <c r="L294" s="385"/>
      <c r="M294" s="385"/>
      <c r="N294" s="385"/>
      <c r="O294" s="386"/>
      <c r="P294" s="375" t="s">
        <v>129</v>
      </c>
      <c r="Q294" s="375"/>
      <c r="R294" s="375"/>
      <c r="S294" s="375"/>
      <c r="T294" s="375"/>
      <c r="U294" s="375"/>
      <c r="V294" s="375"/>
      <c r="W294" s="375"/>
      <c r="X294" s="375"/>
      <c r="Y294" s="384" t="e">
        <v>#N/A</v>
      </c>
      <c r="Z294" s="385"/>
      <c r="AA294" s="385"/>
      <c r="AB294" s="385"/>
      <c r="AC294" s="385"/>
      <c r="AD294" s="385"/>
      <c r="AE294" s="385"/>
      <c r="AF294" s="385"/>
      <c r="AG294" s="386"/>
      <c r="AH294" s="375" t="s">
        <v>143</v>
      </c>
      <c r="AI294" s="375"/>
      <c r="AJ294" s="375"/>
      <c r="AK294" s="375"/>
      <c r="AL294" s="375"/>
      <c r="AM294" s="375"/>
      <c r="AN294" s="384" t="e">
        <v>#N/A</v>
      </c>
      <c r="AO294" s="385"/>
      <c r="AP294" s="385"/>
      <c r="AQ294" s="385"/>
      <c r="AR294" s="385"/>
      <c r="AS294" s="385"/>
      <c r="AT294" s="385"/>
      <c r="AU294" s="385"/>
      <c r="AV294" s="386"/>
    </row>
    <row r="295" spans="1:50" s="202" customFormat="1" x14ac:dyDescent="0.25">
      <c r="A295" s="170"/>
      <c r="B295" s="170"/>
      <c r="C295" s="375" t="s">
        <v>116</v>
      </c>
      <c r="D295" s="375"/>
      <c r="E295" s="375"/>
      <c r="F295" s="375"/>
      <c r="G295" s="375"/>
      <c r="H295" s="375"/>
      <c r="I295" s="375"/>
      <c r="J295" s="384" t="e">
        <f>VLOOKUP("",'Выгрузка из 1С'!$A:$C,3,FALSE)</f>
        <v>#N/A</v>
      </c>
      <c r="K295" s="385"/>
      <c r="L295" s="385"/>
      <c r="M295" s="385"/>
      <c r="N295" s="385"/>
      <c r="O295" s="386"/>
      <c r="P295" s="375" t="s">
        <v>130</v>
      </c>
      <c r="Q295" s="375"/>
      <c r="R295" s="375"/>
      <c r="S295" s="375"/>
      <c r="T295" s="375"/>
      <c r="U295" s="375"/>
      <c r="V295" s="375"/>
      <c r="W295" s="375"/>
      <c r="X295" s="375"/>
      <c r="Y295" s="384" t="e">
        <v>#N/A</v>
      </c>
      <c r="Z295" s="385"/>
      <c r="AA295" s="385"/>
      <c r="AB295" s="385"/>
      <c r="AC295" s="385"/>
      <c r="AD295" s="385"/>
      <c r="AE295" s="385"/>
      <c r="AF295" s="385"/>
      <c r="AG295" s="386"/>
      <c r="AH295" s="375" t="s">
        <v>144</v>
      </c>
      <c r="AI295" s="375"/>
      <c r="AJ295" s="375"/>
      <c r="AK295" s="375"/>
      <c r="AL295" s="375"/>
      <c r="AM295" s="375"/>
      <c r="AN295" s="384" t="e">
        <v>#N/A</v>
      </c>
      <c r="AO295" s="385"/>
      <c r="AP295" s="385"/>
      <c r="AQ295" s="385"/>
      <c r="AR295" s="385"/>
      <c r="AS295" s="385"/>
      <c r="AT295" s="385"/>
      <c r="AU295" s="385"/>
      <c r="AV295" s="386"/>
    </row>
    <row r="296" spans="1:50" s="202" customFormat="1" x14ac:dyDescent="0.25">
      <c r="A296" s="170"/>
      <c r="B296" s="170"/>
      <c r="C296" s="375" t="s">
        <v>117</v>
      </c>
      <c r="D296" s="375"/>
      <c r="E296" s="375"/>
      <c r="F296" s="375"/>
      <c r="G296" s="375"/>
      <c r="H296" s="375"/>
      <c r="I296" s="375"/>
      <c r="J296" s="384" t="e">
        <f>VLOOKUP("",'Выгрузка из 1С'!$A:$C,3,FALSE)</f>
        <v>#N/A</v>
      </c>
      <c r="K296" s="385"/>
      <c r="L296" s="385"/>
      <c r="M296" s="385"/>
      <c r="N296" s="385"/>
      <c r="O296" s="386"/>
      <c r="P296" s="375" t="s">
        <v>131</v>
      </c>
      <c r="Q296" s="375"/>
      <c r="R296" s="375"/>
      <c r="S296" s="375"/>
      <c r="T296" s="375"/>
      <c r="U296" s="375"/>
      <c r="V296" s="375"/>
      <c r="W296" s="375"/>
      <c r="X296" s="375"/>
      <c r="Y296" s="384" t="e">
        <v>#N/A</v>
      </c>
      <c r="Z296" s="385"/>
      <c r="AA296" s="385"/>
      <c r="AB296" s="385"/>
      <c r="AC296" s="385"/>
      <c r="AD296" s="385"/>
      <c r="AE296" s="385"/>
      <c r="AF296" s="385"/>
      <c r="AG296" s="386"/>
      <c r="AH296" s="375" t="s">
        <v>145</v>
      </c>
      <c r="AI296" s="375"/>
      <c r="AJ296" s="375"/>
      <c r="AK296" s="375"/>
      <c r="AL296" s="375"/>
      <c r="AM296" s="375"/>
      <c r="AN296" s="560" t="e">
        <v>#N/A</v>
      </c>
      <c r="AO296" s="462"/>
      <c r="AP296" s="462"/>
      <c r="AQ296" s="462"/>
      <c r="AR296" s="462"/>
      <c r="AS296" s="462"/>
      <c r="AT296" s="204"/>
      <c r="AU296" s="204"/>
      <c r="AV296" s="204"/>
    </row>
    <row r="297" spans="1:50" s="202" customFormat="1" x14ac:dyDescent="0.25">
      <c r="A297" s="170"/>
      <c r="B297" s="170"/>
      <c r="C297" s="375" t="s">
        <v>118</v>
      </c>
      <c r="D297" s="375"/>
      <c r="E297" s="375"/>
      <c r="F297" s="375"/>
      <c r="G297" s="375"/>
      <c r="H297" s="375"/>
      <c r="I297" s="375"/>
      <c r="J297" s="384" t="e">
        <f>VLOOKUP("",'Выгрузка из 1С'!$A:$C,3,FALSE)</f>
        <v>#N/A</v>
      </c>
      <c r="K297" s="385"/>
      <c r="L297" s="385"/>
      <c r="M297" s="385"/>
      <c r="N297" s="385"/>
      <c r="O297" s="386"/>
      <c r="P297" s="375" t="s">
        <v>132</v>
      </c>
      <c r="Q297" s="375"/>
      <c r="R297" s="375"/>
      <c r="S297" s="375"/>
      <c r="T297" s="375"/>
      <c r="U297" s="375"/>
      <c r="V297" s="375"/>
      <c r="W297" s="375"/>
      <c r="X297" s="375"/>
      <c r="Y297" s="384" t="e">
        <v>#N/A</v>
      </c>
      <c r="Z297" s="385"/>
      <c r="AA297" s="385"/>
      <c r="AB297" s="385"/>
      <c r="AC297" s="385"/>
      <c r="AD297" s="385"/>
      <c r="AE297" s="385"/>
      <c r="AF297" s="385"/>
      <c r="AG297" s="386"/>
      <c r="AH297" s="375" t="s">
        <v>148</v>
      </c>
      <c r="AI297" s="375"/>
      <c r="AJ297" s="375"/>
      <c r="AK297" s="375"/>
      <c r="AL297" s="375"/>
      <c r="AM297" s="375"/>
      <c r="AN297" s="560" t="e">
        <v>#N/A</v>
      </c>
      <c r="AO297" s="462"/>
      <c r="AP297" s="462"/>
      <c r="AQ297" s="462"/>
      <c r="AR297" s="462"/>
      <c r="AS297" s="462"/>
      <c r="AT297" s="204"/>
      <c r="AU297" s="204"/>
      <c r="AV297" s="204"/>
    </row>
    <row r="298" spans="1:50" s="202" customFormat="1" x14ac:dyDescent="0.25">
      <c r="A298" s="170"/>
      <c r="B298" s="170"/>
      <c r="C298" s="375" t="s">
        <v>119</v>
      </c>
      <c r="D298" s="375"/>
      <c r="E298" s="375"/>
      <c r="F298" s="375"/>
      <c r="G298" s="375"/>
      <c r="H298" s="375"/>
      <c r="I298" s="375"/>
      <c r="J298" s="384" t="e">
        <f>VLOOKUP("",'Выгрузка из 1С'!$A:$C,3,FALSE)</f>
        <v>#N/A</v>
      </c>
      <c r="K298" s="385"/>
      <c r="L298" s="385"/>
      <c r="M298" s="385"/>
      <c r="N298" s="385"/>
      <c r="O298" s="386"/>
      <c r="P298" s="375" t="s">
        <v>133</v>
      </c>
      <c r="Q298" s="375"/>
      <c r="R298" s="375"/>
      <c r="S298" s="375"/>
      <c r="T298" s="375"/>
      <c r="U298" s="375"/>
      <c r="V298" s="375"/>
      <c r="W298" s="375"/>
      <c r="X298" s="375"/>
      <c r="Y298" s="384" t="e">
        <v>#N/A</v>
      </c>
      <c r="Z298" s="385"/>
      <c r="AA298" s="385"/>
      <c r="AB298" s="385"/>
      <c r="AC298" s="385"/>
      <c r="AD298" s="385"/>
      <c r="AE298" s="385"/>
      <c r="AF298" s="385"/>
      <c r="AG298" s="386"/>
      <c r="AH298" s="375" t="s">
        <v>146</v>
      </c>
      <c r="AI298" s="375"/>
      <c r="AJ298" s="375"/>
      <c r="AK298" s="375"/>
      <c r="AL298" s="375"/>
      <c r="AM298" s="375"/>
      <c r="AN298" s="560" t="e">
        <v>#N/A</v>
      </c>
      <c r="AO298" s="462"/>
      <c r="AP298" s="462"/>
      <c r="AQ298" s="462"/>
      <c r="AR298" s="462"/>
      <c r="AS298" s="462"/>
      <c r="AT298" s="204"/>
      <c r="AU298" s="204"/>
      <c r="AV298" s="204"/>
    </row>
    <row r="299" spans="1:50" s="202" customFormat="1" x14ac:dyDescent="0.25">
      <c r="A299" s="170"/>
      <c r="B299" s="170"/>
      <c r="C299" s="375" t="s">
        <v>120</v>
      </c>
      <c r="D299" s="375"/>
      <c r="E299" s="375"/>
      <c r="F299" s="375"/>
      <c r="G299" s="375"/>
      <c r="H299" s="375"/>
      <c r="I299" s="375"/>
      <c r="J299" s="384" t="e">
        <f>VLOOKUP("",'Выгрузка из 1С'!$A:$C,3,FALSE)</f>
        <v>#N/A</v>
      </c>
      <c r="K299" s="385"/>
      <c r="L299" s="385"/>
      <c r="M299" s="385"/>
      <c r="N299" s="385"/>
      <c r="O299" s="386"/>
      <c r="P299" s="375" t="s">
        <v>134</v>
      </c>
      <c r="Q299" s="375"/>
      <c r="R299" s="375"/>
      <c r="S299" s="375"/>
      <c r="T299" s="375"/>
      <c r="U299" s="375"/>
      <c r="V299" s="375"/>
      <c r="W299" s="375"/>
      <c r="X299" s="375"/>
      <c r="Y299" s="384" t="e">
        <v>#N/A</v>
      </c>
      <c r="Z299" s="385"/>
      <c r="AA299" s="385"/>
      <c r="AB299" s="385"/>
      <c r="AC299" s="385"/>
      <c r="AD299" s="385"/>
      <c r="AE299" s="385"/>
      <c r="AF299" s="385"/>
      <c r="AG299" s="386"/>
      <c r="AH299" s="375" t="s">
        <v>147</v>
      </c>
      <c r="AI299" s="375"/>
      <c r="AJ299" s="375"/>
      <c r="AK299" s="375"/>
      <c r="AL299" s="375"/>
      <c r="AM299" s="375"/>
      <c r="AN299" s="560" t="e">
        <v>#N/A</v>
      </c>
      <c r="AO299" s="462"/>
      <c r="AP299" s="462"/>
      <c r="AQ299" s="462"/>
      <c r="AR299" s="462"/>
      <c r="AS299" s="462"/>
      <c r="AT299" s="204"/>
      <c r="AU299" s="204"/>
      <c r="AV299" s="204"/>
    </row>
    <row r="300" spans="1:50" s="202" customFormat="1" x14ac:dyDescent="0.25">
      <c r="A300" s="170"/>
      <c r="B300" s="170"/>
      <c r="C300" s="375" t="s">
        <v>121</v>
      </c>
      <c r="D300" s="375"/>
      <c r="E300" s="375"/>
      <c r="F300" s="375"/>
      <c r="G300" s="375"/>
      <c r="H300" s="375"/>
      <c r="I300" s="375"/>
      <c r="J300" s="384" t="e">
        <f>VLOOKUP("",'Выгрузка из 1С'!$A:$C,3,FALSE)</f>
        <v>#N/A</v>
      </c>
      <c r="K300" s="385"/>
      <c r="L300" s="385"/>
      <c r="M300" s="385"/>
      <c r="N300" s="385"/>
      <c r="O300" s="386"/>
      <c r="P300" s="375" t="s">
        <v>135</v>
      </c>
      <c r="Q300" s="375"/>
      <c r="R300" s="375"/>
      <c r="S300" s="375"/>
      <c r="T300" s="375"/>
      <c r="U300" s="375"/>
      <c r="V300" s="375"/>
      <c r="W300" s="375"/>
      <c r="X300" s="375"/>
      <c r="Y300" s="384" t="e">
        <v>#N/A</v>
      </c>
      <c r="Z300" s="385"/>
      <c r="AA300" s="385"/>
      <c r="AB300" s="385"/>
      <c r="AC300" s="385"/>
      <c r="AD300" s="385"/>
      <c r="AE300" s="385"/>
      <c r="AF300" s="385"/>
      <c r="AG300" s="386"/>
      <c r="AH300" s="375" t="s">
        <v>149</v>
      </c>
      <c r="AI300" s="375"/>
      <c r="AJ300" s="375"/>
      <c r="AK300" s="375"/>
      <c r="AL300" s="375"/>
      <c r="AM300" s="375"/>
      <c r="AN300" s="560" t="e">
        <v>#N/A</v>
      </c>
      <c r="AO300" s="462"/>
      <c r="AP300" s="462"/>
      <c r="AQ300" s="462"/>
      <c r="AR300" s="462"/>
      <c r="AS300" s="462"/>
      <c r="AT300" s="204"/>
      <c r="AU300" s="204"/>
      <c r="AV300" s="204"/>
    </row>
    <row r="301" spans="1:50" s="202" customFormat="1" x14ac:dyDescent="0.25">
      <c r="A301" s="170"/>
      <c r="B301" s="170"/>
      <c r="C301" s="375" t="s">
        <v>122</v>
      </c>
      <c r="D301" s="375"/>
      <c r="E301" s="375"/>
      <c r="F301" s="375"/>
      <c r="G301" s="375"/>
      <c r="H301" s="375"/>
      <c r="I301" s="375"/>
      <c r="J301" s="384" t="e">
        <f>VLOOKUP("",'Выгрузка из 1С'!$A:$C,3,FALSE)</f>
        <v>#N/A</v>
      </c>
      <c r="K301" s="385"/>
      <c r="L301" s="385"/>
      <c r="M301" s="385"/>
      <c r="N301" s="385"/>
      <c r="O301" s="386"/>
      <c r="P301" s="375" t="s">
        <v>136</v>
      </c>
      <c r="Q301" s="375"/>
      <c r="R301" s="375"/>
      <c r="S301" s="375"/>
      <c r="T301" s="375"/>
      <c r="U301" s="375"/>
      <c r="V301" s="375"/>
      <c r="W301" s="375"/>
      <c r="X301" s="375"/>
      <c r="Y301" s="384" t="e">
        <v>#N/A</v>
      </c>
      <c r="Z301" s="385"/>
      <c r="AA301" s="385"/>
      <c r="AB301" s="385"/>
      <c r="AC301" s="385"/>
      <c r="AD301" s="385"/>
      <c r="AE301" s="385"/>
      <c r="AF301" s="385"/>
      <c r="AG301" s="386"/>
      <c r="AH301" s="375" t="s">
        <v>150</v>
      </c>
      <c r="AI301" s="375"/>
      <c r="AJ301" s="375"/>
      <c r="AK301" s="375"/>
      <c r="AL301" s="375"/>
      <c r="AM301" s="375"/>
      <c r="AN301" s="560" t="e">
        <v>#N/A</v>
      </c>
      <c r="AO301" s="462"/>
      <c r="AP301" s="462"/>
      <c r="AQ301" s="462"/>
      <c r="AR301" s="462"/>
      <c r="AS301" s="462"/>
      <c r="AT301" s="204"/>
      <c r="AU301" s="204"/>
      <c r="AV301" s="204"/>
    </row>
    <row r="302" spans="1:50" s="25" customFormat="1" x14ac:dyDescent="0.25">
      <c r="A302" s="170"/>
      <c r="B302" s="170"/>
      <c r="C302" s="375" t="s">
        <v>123</v>
      </c>
      <c r="D302" s="375"/>
      <c r="E302" s="375"/>
      <c r="F302" s="375"/>
      <c r="G302" s="375"/>
      <c r="H302" s="375"/>
      <c r="I302" s="375"/>
      <c r="J302" s="384" t="e">
        <f>VLOOKUP("",'Выгрузка из 1С'!$A:$C,3,FALSE)</f>
        <v>#N/A</v>
      </c>
      <c r="K302" s="385"/>
      <c r="L302" s="385"/>
      <c r="M302" s="385"/>
      <c r="N302" s="385"/>
      <c r="O302" s="386"/>
      <c r="P302" s="375" t="s">
        <v>137</v>
      </c>
      <c r="Q302" s="375"/>
      <c r="R302" s="375"/>
      <c r="S302" s="375"/>
      <c r="T302" s="375"/>
      <c r="U302" s="375"/>
      <c r="V302" s="375"/>
      <c r="W302" s="375"/>
      <c r="X302" s="375"/>
      <c r="Y302" s="384" t="e">
        <v>#N/A</v>
      </c>
      <c r="Z302" s="385"/>
      <c r="AA302" s="385"/>
      <c r="AB302" s="385"/>
      <c r="AC302" s="385"/>
      <c r="AD302" s="385"/>
      <c r="AE302" s="385"/>
      <c r="AF302" s="385"/>
      <c r="AG302" s="386"/>
      <c r="AH302" s="375" t="s">
        <v>101</v>
      </c>
      <c r="AI302" s="375"/>
      <c r="AJ302" s="375"/>
      <c r="AK302" s="375"/>
      <c r="AL302" s="375"/>
      <c r="AM302" s="375"/>
      <c r="AN302" s="375"/>
      <c r="AO302" s="375"/>
      <c r="AP302" s="375"/>
      <c r="AQ302" s="375"/>
      <c r="AR302" s="375"/>
      <c r="AS302" s="375"/>
    </row>
    <row r="303" spans="1:50" s="25" customFormat="1" x14ac:dyDescent="0.25">
      <c r="A303" s="170"/>
      <c r="B303" s="170"/>
      <c r="C303" s="375" t="s">
        <v>124</v>
      </c>
      <c r="D303" s="375"/>
      <c r="E303" s="375"/>
      <c r="F303" s="375"/>
      <c r="G303" s="375"/>
      <c r="H303" s="375"/>
      <c r="I303" s="375"/>
      <c r="J303" s="384" t="e">
        <f>VLOOKUP("",'Выгрузка из 1С'!$A:$C,3,FALSE)</f>
        <v>#N/A</v>
      </c>
      <c r="K303" s="385"/>
      <c r="L303" s="385"/>
      <c r="M303" s="385"/>
      <c r="N303" s="385"/>
      <c r="O303" s="386"/>
      <c r="P303" s="375" t="s">
        <v>138</v>
      </c>
      <c r="Q303" s="375"/>
      <c r="R303" s="375"/>
      <c r="S303" s="375"/>
      <c r="T303" s="375"/>
      <c r="U303" s="375"/>
      <c r="V303" s="375"/>
      <c r="W303" s="375"/>
      <c r="X303" s="375"/>
      <c r="Y303" s="384" t="e">
        <v>#N/A</v>
      </c>
      <c r="Z303" s="385"/>
      <c r="AA303" s="385"/>
      <c r="AB303" s="385"/>
      <c r="AC303" s="385"/>
      <c r="AD303" s="385"/>
      <c r="AE303" s="385"/>
      <c r="AF303" s="385"/>
      <c r="AG303" s="386"/>
      <c r="AH303" s="375"/>
      <c r="AI303" s="375"/>
      <c r="AJ303" s="375"/>
      <c r="AK303" s="375"/>
      <c r="AL303" s="375"/>
      <c r="AM303" s="375"/>
      <c r="AN303" s="375"/>
      <c r="AO303" s="375"/>
      <c r="AP303" s="375"/>
      <c r="AQ303" s="375"/>
      <c r="AR303" s="375"/>
      <c r="AS303" s="375"/>
    </row>
    <row r="304" spans="1:50" s="25" customFormat="1" x14ac:dyDescent="0.25">
      <c r="A304" s="170"/>
      <c r="B304" s="170"/>
      <c r="C304" s="375" t="s">
        <v>125</v>
      </c>
      <c r="D304" s="375"/>
      <c r="E304" s="375"/>
      <c r="F304" s="375"/>
      <c r="G304" s="375"/>
      <c r="H304" s="375"/>
      <c r="I304" s="375"/>
      <c r="J304" s="384" t="e">
        <f>VLOOKUP("",'Выгрузка из 1С'!$A:$C,3,FALSE)</f>
        <v>#N/A</v>
      </c>
      <c r="K304" s="385"/>
      <c r="L304" s="385"/>
      <c r="M304" s="385"/>
      <c r="N304" s="385"/>
      <c r="O304" s="386"/>
      <c r="P304" s="375" t="s">
        <v>139</v>
      </c>
      <c r="Q304" s="375"/>
      <c r="R304" s="375"/>
      <c r="S304" s="375"/>
      <c r="T304" s="375"/>
      <c r="U304" s="375"/>
      <c r="V304" s="375"/>
      <c r="W304" s="375"/>
      <c r="X304" s="375"/>
      <c r="Y304" s="384" t="e">
        <v>#N/A</v>
      </c>
      <c r="Z304" s="385"/>
      <c r="AA304" s="385"/>
      <c r="AB304" s="385"/>
      <c r="AC304" s="385"/>
      <c r="AD304" s="385"/>
      <c r="AE304" s="385"/>
      <c r="AF304" s="385"/>
      <c r="AG304" s="386"/>
      <c r="AH304" s="375"/>
      <c r="AI304" s="375"/>
      <c r="AJ304" s="375"/>
      <c r="AK304" s="375"/>
      <c r="AL304" s="375"/>
      <c r="AM304" s="375"/>
      <c r="AN304" s="375"/>
      <c r="AO304" s="375"/>
      <c r="AP304" s="375"/>
      <c r="AQ304" s="375"/>
      <c r="AR304" s="375"/>
      <c r="AS304" s="375"/>
    </row>
    <row r="305" spans="1:50" s="25" customFormat="1" x14ac:dyDescent="0.25">
      <c r="A305" s="170"/>
      <c r="B305" s="170"/>
      <c r="C305" s="375" t="s">
        <v>126</v>
      </c>
      <c r="D305" s="375"/>
      <c r="E305" s="375"/>
      <c r="F305" s="375"/>
      <c r="G305" s="375"/>
      <c r="H305" s="375"/>
      <c r="I305" s="375"/>
      <c r="J305" s="384" t="e">
        <f>VLOOKUP("",'Выгрузка из 1С'!$A:$C,3,FALSE)</f>
        <v>#N/A</v>
      </c>
      <c r="K305" s="385"/>
      <c r="L305" s="385"/>
      <c r="M305" s="385"/>
      <c r="N305" s="385"/>
      <c r="O305" s="386"/>
      <c r="P305" s="375" t="s">
        <v>140</v>
      </c>
      <c r="Q305" s="375"/>
      <c r="R305" s="375"/>
      <c r="S305" s="375"/>
      <c r="T305" s="375"/>
      <c r="U305" s="375"/>
      <c r="V305" s="375"/>
      <c r="W305" s="375"/>
      <c r="X305" s="375"/>
      <c r="Y305" s="384" t="e">
        <v>#N/A</v>
      </c>
      <c r="Z305" s="385"/>
      <c r="AA305" s="385"/>
      <c r="AB305" s="385"/>
      <c r="AC305" s="385"/>
      <c r="AD305" s="385"/>
      <c r="AE305" s="385"/>
      <c r="AF305" s="385"/>
      <c r="AG305" s="386"/>
      <c r="AH305" s="375"/>
      <c r="AI305" s="375"/>
      <c r="AJ305" s="375"/>
      <c r="AK305" s="375"/>
      <c r="AL305" s="375"/>
      <c r="AM305" s="375"/>
      <c r="AN305" s="375"/>
      <c r="AO305" s="375"/>
      <c r="AP305" s="375"/>
      <c r="AQ305" s="375"/>
      <c r="AR305" s="375"/>
      <c r="AS305" s="375"/>
    </row>
    <row r="306" spans="1:50" s="25" customFormat="1" x14ac:dyDescent="0.25">
      <c r="A306" s="170"/>
      <c r="B306" s="170"/>
      <c r="C306" s="375" t="s">
        <v>127</v>
      </c>
      <c r="D306" s="375"/>
      <c r="E306" s="375"/>
      <c r="F306" s="375"/>
      <c r="G306" s="375"/>
      <c r="H306" s="375"/>
      <c r="I306" s="375"/>
      <c r="J306" s="384" t="e">
        <f>VLOOKUP("",'Выгрузка из 1С'!$A:$C,3,FALSE)</f>
        <v>#N/A</v>
      </c>
      <c r="K306" s="385"/>
      <c r="L306" s="385"/>
      <c r="M306" s="385"/>
      <c r="N306" s="385"/>
      <c r="O306" s="386"/>
      <c r="P306" s="375" t="s">
        <v>141</v>
      </c>
      <c r="Q306" s="375"/>
      <c r="R306" s="375"/>
      <c r="S306" s="375"/>
      <c r="T306" s="375"/>
      <c r="U306" s="375"/>
      <c r="V306" s="375"/>
      <c r="W306" s="375"/>
      <c r="X306" s="375"/>
      <c r="Y306" s="384" t="e">
        <v>#N/A</v>
      </c>
      <c r="Z306" s="385"/>
      <c r="AA306" s="385"/>
      <c r="AB306" s="385"/>
      <c r="AC306" s="385"/>
      <c r="AD306" s="385"/>
      <c r="AE306" s="385"/>
      <c r="AF306" s="385"/>
      <c r="AG306" s="386"/>
      <c r="AH306" s="375"/>
      <c r="AI306" s="375"/>
      <c r="AJ306" s="375"/>
      <c r="AK306" s="375"/>
      <c r="AL306" s="375"/>
      <c r="AM306" s="375"/>
      <c r="AN306" s="375"/>
      <c r="AO306" s="375"/>
      <c r="AP306" s="375"/>
      <c r="AQ306" s="375"/>
      <c r="AR306" s="375"/>
      <c r="AS306" s="375"/>
    </row>
    <row r="307" spans="1:50" s="19" customFormat="1" x14ac:dyDescent="0.25">
      <c r="A307" s="170"/>
      <c r="B307" s="170"/>
      <c r="C307" s="20" t="s">
        <v>151</v>
      </c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W307" s="25"/>
      <c r="AX307" s="25"/>
    </row>
    <row r="308" spans="1:50" s="19" customFormat="1" ht="14.25" customHeight="1" x14ac:dyDescent="0.25">
      <c r="A308" s="170"/>
      <c r="B308" s="17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W308" s="25"/>
      <c r="AX308" s="25"/>
    </row>
    <row r="309" spans="1:50" s="202" customFormat="1" x14ac:dyDescent="0.25">
      <c r="A309" s="17"/>
      <c r="B309" s="17"/>
      <c r="C309" s="13" t="s">
        <v>152</v>
      </c>
      <c r="D309" s="250"/>
      <c r="E309" s="250"/>
      <c r="F309" s="250"/>
      <c r="G309" s="250"/>
      <c r="H309" s="250"/>
      <c r="I309" s="250"/>
      <c r="J309" s="250"/>
      <c r="K309" s="250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  <c r="AA309" s="250"/>
      <c r="AB309" s="250"/>
      <c r="AC309" s="250"/>
      <c r="AD309" s="250"/>
      <c r="AE309" s="250"/>
      <c r="AF309" s="250"/>
      <c r="AG309" s="250"/>
      <c r="AH309" s="250"/>
      <c r="AI309" s="250"/>
      <c r="AJ309" s="250"/>
      <c r="AK309" s="250"/>
      <c r="AL309" s="250"/>
      <c r="AM309" s="250"/>
      <c r="AN309" s="250"/>
      <c r="AO309" s="250"/>
      <c r="AP309" s="250"/>
      <c r="AQ309" s="250"/>
      <c r="AR309" s="250"/>
      <c r="AS309" s="250"/>
    </row>
    <row r="310" spans="1:50" s="243" customFormat="1" ht="23.25" customHeight="1" x14ac:dyDescent="0.25">
      <c r="A310" s="272"/>
      <c r="B310" s="7"/>
      <c r="C310" s="566" t="s">
        <v>35</v>
      </c>
      <c r="D310" s="567"/>
      <c r="E310" s="567"/>
      <c r="F310" s="567"/>
      <c r="G310" s="567"/>
      <c r="H310" s="568"/>
      <c r="I310" s="704" t="s">
        <v>933</v>
      </c>
      <c r="J310" s="705"/>
      <c r="K310" s="705"/>
      <c r="L310" s="705"/>
      <c r="M310" s="705"/>
      <c r="N310" s="705"/>
      <c r="O310" s="705"/>
      <c r="P310" s="705"/>
      <c r="Q310" s="705"/>
      <c r="R310" s="705"/>
      <c r="S310" s="705"/>
      <c r="T310" s="705"/>
      <c r="U310" s="705" t="s">
        <v>937</v>
      </c>
      <c r="V310" s="705"/>
      <c r="W310" s="705"/>
      <c r="X310" s="705"/>
      <c r="Y310" s="705"/>
      <c r="Z310" s="705"/>
      <c r="AA310" s="705"/>
      <c r="AB310" s="705"/>
      <c r="AC310" s="705"/>
      <c r="AD310" s="705"/>
      <c r="AE310" s="705"/>
      <c r="AF310" s="705"/>
      <c r="AG310" s="705" t="s">
        <v>934</v>
      </c>
      <c r="AH310" s="705"/>
      <c r="AI310" s="705"/>
      <c r="AJ310" s="705"/>
      <c r="AK310" s="705"/>
      <c r="AL310" s="705"/>
      <c r="AM310" s="705"/>
      <c r="AN310" s="705"/>
      <c r="AO310" s="705"/>
      <c r="AP310" s="705"/>
      <c r="AQ310" s="705"/>
      <c r="AR310" s="705"/>
      <c r="AS310" s="706"/>
    </row>
    <row r="311" spans="1:50" s="243" customFormat="1" ht="62.25" customHeight="1" x14ac:dyDescent="0.25">
      <c r="A311" s="272"/>
      <c r="B311" s="7"/>
      <c r="C311" s="569"/>
      <c r="D311" s="570"/>
      <c r="E311" s="570"/>
      <c r="F311" s="570"/>
      <c r="G311" s="570"/>
      <c r="H311" s="571"/>
      <c r="I311" s="566" t="s">
        <v>935</v>
      </c>
      <c r="J311" s="567"/>
      <c r="K311" s="567"/>
      <c r="L311" s="567"/>
      <c r="M311" s="567"/>
      <c r="N311" s="567"/>
      <c r="O311" s="567" t="s">
        <v>936</v>
      </c>
      <c r="P311" s="567"/>
      <c r="Q311" s="567"/>
      <c r="R311" s="567"/>
      <c r="S311" s="567"/>
      <c r="T311" s="567"/>
      <c r="U311" s="567" t="s">
        <v>935</v>
      </c>
      <c r="V311" s="567"/>
      <c r="W311" s="567"/>
      <c r="X311" s="567"/>
      <c r="Y311" s="567"/>
      <c r="Z311" s="567"/>
      <c r="AA311" s="567" t="s">
        <v>936</v>
      </c>
      <c r="AB311" s="567"/>
      <c r="AC311" s="567"/>
      <c r="AD311" s="567"/>
      <c r="AE311" s="567"/>
      <c r="AF311" s="567"/>
      <c r="AG311" s="567" t="s">
        <v>935</v>
      </c>
      <c r="AH311" s="567"/>
      <c r="AI311" s="567"/>
      <c r="AJ311" s="567"/>
      <c r="AK311" s="567"/>
      <c r="AL311" s="567"/>
      <c r="AM311" s="567" t="s">
        <v>936</v>
      </c>
      <c r="AN311" s="567"/>
      <c r="AO311" s="567"/>
      <c r="AP311" s="567"/>
      <c r="AQ311" s="567"/>
      <c r="AR311" s="567"/>
      <c r="AS311" s="568"/>
    </row>
    <row r="312" spans="1:50" s="244" customFormat="1" ht="15" customHeight="1" x14ac:dyDescent="0.25">
      <c r="A312" s="272"/>
      <c r="B312" s="7"/>
      <c r="C312" s="704">
        <v>15</v>
      </c>
      <c r="D312" s="705"/>
      <c r="E312" s="705"/>
      <c r="F312" s="705"/>
      <c r="G312" s="705"/>
      <c r="H312" s="705"/>
      <c r="I312" s="565">
        <f>VLOOKUP("УТ-00041338",'Выгрузка из 1С'!$B$4:$K$1976,10,FALSE)</f>
        <v>27000</v>
      </c>
      <c r="J312" s="565"/>
      <c r="K312" s="565"/>
      <c r="L312" s="565"/>
      <c r="M312" s="565"/>
      <c r="N312" s="565"/>
      <c r="O312" s="565">
        <f>VLOOKUP("УТ-00040413",'Выгрузка из 1С'!$B$4:$K$1976,10,FALSE)</f>
        <v>31800</v>
      </c>
      <c r="P312" s="565"/>
      <c r="Q312" s="565"/>
      <c r="R312" s="565"/>
      <c r="S312" s="565"/>
      <c r="T312" s="565"/>
      <c r="U312" s="565" t="s">
        <v>881</v>
      </c>
      <c r="V312" s="565"/>
      <c r="W312" s="565"/>
      <c r="X312" s="565"/>
      <c r="Y312" s="565"/>
      <c r="Z312" s="565"/>
      <c r="AA312" s="565" t="s">
        <v>881</v>
      </c>
      <c r="AB312" s="565"/>
      <c r="AC312" s="565"/>
      <c r="AD312" s="565"/>
      <c r="AE312" s="565"/>
      <c r="AF312" s="565"/>
      <c r="AG312" s="565" t="s">
        <v>925</v>
      </c>
      <c r="AH312" s="565"/>
      <c r="AI312" s="565"/>
      <c r="AJ312" s="565"/>
      <c r="AK312" s="565"/>
      <c r="AL312" s="565"/>
      <c r="AM312" s="565" t="s">
        <v>925</v>
      </c>
      <c r="AN312" s="565"/>
      <c r="AO312" s="565"/>
      <c r="AP312" s="565"/>
      <c r="AQ312" s="565"/>
      <c r="AR312" s="565"/>
      <c r="AS312" s="565"/>
    </row>
    <row r="313" spans="1:50" s="244" customFormat="1" ht="15" customHeight="1" x14ac:dyDescent="0.25">
      <c r="A313" s="272"/>
      <c r="B313" s="7"/>
      <c r="C313" s="704">
        <v>20</v>
      </c>
      <c r="D313" s="705"/>
      <c r="E313" s="705"/>
      <c r="F313" s="705"/>
      <c r="G313" s="705"/>
      <c r="H313" s="705"/>
      <c r="I313" s="565">
        <f>VLOOKUP("УТ-00039887",'Выгрузка из 1С'!$B$4:$K$1976,10,FALSE)</f>
        <v>28800</v>
      </c>
      <c r="J313" s="565"/>
      <c r="K313" s="565"/>
      <c r="L313" s="565"/>
      <c r="M313" s="565"/>
      <c r="N313" s="565"/>
      <c r="O313" s="565">
        <f>VLOOKUP("УТ-00040540",'Выгрузка из 1С'!$B$4:$K$1976,10,FALSE)</f>
        <v>32400</v>
      </c>
      <c r="P313" s="565"/>
      <c r="Q313" s="565"/>
      <c r="R313" s="565"/>
      <c r="S313" s="565"/>
      <c r="T313" s="565"/>
      <c r="U313" s="565">
        <f>VLOOKUP("УТ-00040515",'Выгрузка из 1С'!$B$4:$K$1976,10,FALSE)</f>
        <v>25200</v>
      </c>
      <c r="V313" s="565"/>
      <c r="W313" s="565"/>
      <c r="X313" s="565"/>
      <c r="Y313" s="565"/>
      <c r="Z313" s="565"/>
      <c r="AA313" s="565">
        <f>VLOOKUP("УТ-00039860",'Выгрузка из 1С'!$B$4:$K$1976,10,FALSE)</f>
        <v>29400</v>
      </c>
      <c r="AB313" s="565"/>
      <c r="AC313" s="565"/>
      <c r="AD313" s="565"/>
      <c r="AE313" s="565"/>
      <c r="AF313" s="565"/>
      <c r="AG313" s="565" t="s">
        <v>881</v>
      </c>
      <c r="AH313" s="565"/>
      <c r="AI313" s="565"/>
      <c r="AJ313" s="565"/>
      <c r="AK313" s="565"/>
      <c r="AL313" s="565"/>
      <c r="AM313" s="565" t="s">
        <v>881</v>
      </c>
      <c r="AN313" s="565"/>
      <c r="AO313" s="565"/>
      <c r="AP313" s="565"/>
      <c r="AQ313" s="565"/>
      <c r="AR313" s="565"/>
      <c r="AS313" s="565"/>
    </row>
    <row r="314" spans="1:50" s="244" customFormat="1" ht="15" customHeight="1" x14ac:dyDescent="0.25">
      <c r="A314" s="272"/>
      <c r="B314" s="7"/>
      <c r="C314" s="704">
        <v>25</v>
      </c>
      <c r="D314" s="705"/>
      <c r="E314" s="705"/>
      <c r="F314" s="705"/>
      <c r="G314" s="705"/>
      <c r="H314" s="705"/>
      <c r="I314" s="565">
        <f>VLOOKUP("УТ-00040600",'Выгрузка из 1С'!$B$4:$K$1976,10,FALSE)</f>
        <v>31200</v>
      </c>
      <c r="J314" s="565"/>
      <c r="K314" s="565"/>
      <c r="L314" s="565"/>
      <c r="M314" s="565"/>
      <c r="N314" s="565"/>
      <c r="O314" s="565">
        <f>VLOOKUP("УТ-00039935",'Выгрузка из 1С'!$B$4:$K$1976,10,FALSE)</f>
        <v>34200</v>
      </c>
      <c r="P314" s="565"/>
      <c r="Q314" s="565"/>
      <c r="R314" s="565"/>
      <c r="S314" s="565"/>
      <c r="T314" s="565"/>
      <c r="U314" s="565">
        <f>VLOOKUP("УТ-00039911",'Выгрузка из 1С'!$B$4:$K$1976,10,FALSE)</f>
        <v>26400</v>
      </c>
      <c r="V314" s="565"/>
      <c r="W314" s="565"/>
      <c r="X314" s="565"/>
      <c r="Y314" s="565"/>
      <c r="Z314" s="565"/>
      <c r="AA314" s="565">
        <f>VLOOKUP("УТ-00039915",'Выгрузка из 1С'!$B$4:$K$1976,10,FALSE)</f>
        <v>30000</v>
      </c>
      <c r="AB314" s="565"/>
      <c r="AC314" s="565"/>
      <c r="AD314" s="565"/>
      <c r="AE314" s="565"/>
      <c r="AF314" s="565"/>
      <c r="AG314" s="565" t="s">
        <v>881</v>
      </c>
      <c r="AH314" s="565"/>
      <c r="AI314" s="565"/>
      <c r="AJ314" s="565"/>
      <c r="AK314" s="565"/>
      <c r="AL314" s="565"/>
      <c r="AM314" s="565" t="s">
        <v>881</v>
      </c>
      <c r="AN314" s="565"/>
      <c r="AO314" s="565"/>
      <c r="AP314" s="565"/>
      <c r="AQ314" s="565"/>
      <c r="AR314" s="565"/>
      <c r="AS314" s="565"/>
    </row>
    <row r="315" spans="1:50" s="244" customFormat="1" ht="15" customHeight="1" x14ac:dyDescent="0.25">
      <c r="A315" s="272"/>
      <c r="B315" s="7"/>
      <c r="C315" s="704">
        <v>32</v>
      </c>
      <c r="D315" s="705"/>
      <c r="E315" s="705"/>
      <c r="F315" s="705"/>
      <c r="G315" s="705"/>
      <c r="H315" s="705"/>
      <c r="I315" s="565">
        <f>VLOOKUP("УТ-00040016",'Выгрузка из 1С'!$B$4:$K$1976,10,FALSE)</f>
        <v>33000</v>
      </c>
      <c r="J315" s="565"/>
      <c r="K315" s="565"/>
      <c r="L315" s="565"/>
      <c r="M315" s="565"/>
      <c r="N315" s="565"/>
      <c r="O315" s="565">
        <f>VLOOKUP("УТ-00040716",'Выгрузка из 1С'!$B$4:$K$1976,10,FALSE)</f>
        <v>37200</v>
      </c>
      <c r="P315" s="565"/>
      <c r="Q315" s="565"/>
      <c r="R315" s="565"/>
      <c r="S315" s="565"/>
      <c r="T315" s="565"/>
      <c r="U315" s="565">
        <f>VLOOKUP("УТ-00040689",'Выгрузка из 1С'!$B$4:$K$1976,10,FALSE)</f>
        <v>27240</v>
      </c>
      <c r="V315" s="565"/>
      <c r="W315" s="565"/>
      <c r="X315" s="565"/>
      <c r="Y315" s="565"/>
      <c r="Z315" s="565"/>
      <c r="AA315" s="565">
        <f>VLOOKUP("УТ-00039993",'Выгрузка из 1С'!$B$4:$K$1976,10,FALSE)</f>
        <v>31200</v>
      </c>
      <c r="AB315" s="565"/>
      <c r="AC315" s="565"/>
      <c r="AD315" s="565"/>
      <c r="AE315" s="565"/>
      <c r="AF315" s="565"/>
      <c r="AG315" s="565" t="s">
        <v>881</v>
      </c>
      <c r="AH315" s="565"/>
      <c r="AI315" s="565"/>
      <c r="AJ315" s="565"/>
      <c r="AK315" s="565"/>
      <c r="AL315" s="565"/>
      <c r="AM315" s="565" t="s">
        <v>881</v>
      </c>
      <c r="AN315" s="565"/>
      <c r="AO315" s="565"/>
      <c r="AP315" s="565"/>
      <c r="AQ315" s="565"/>
      <c r="AR315" s="565"/>
      <c r="AS315" s="565"/>
    </row>
    <row r="316" spans="1:50" s="244" customFormat="1" ht="15" customHeight="1" x14ac:dyDescent="0.25">
      <c r="A316" s="272"/>
      <c r="B316" s="7"/>
      <c r="C316" s="704">
        <v>40</v>
      </c>
      <c r="D316" s="705"/>
      <c r="E316" s="705"/>
      <c r="F316" s="705"/>
      <c r="G316" s="705"/>
      <c r="H316" s="705"/>
      <c r="I316" s="565">
        <f>VLOOKUP("УТ-00040766",'Выгрузка из 1С'!$B$4:$K$1976,10,FALSE)</f>
        <v>36000</v>
      </c>
      <c r="J316" s="565"/>
      <c r="K316" s="565"/>
      <c r="L316" s="565"/>
      <c r="M316" s="565"/>
      <c r="N316" s="565"/>
      <c r="O316" s="565">
        <f>VLOOKUP("УТ-00040075",'Выгрузка из 1С'!$B$4:$K$1976,10,FALSE)</f>
        <v>39600</v>
      </c>
      <c r="P316" s="565"/>
      <c r="Q316" s="565"/>
      <c r="R316" s="565"/>
      <c r="S316" s="565"/>
      <c r="T316" s="565"/>
      <c r="U316" s="565">
        <f>VLOOKUP("УТ-00040739",'Выгрузка из 1С'!$B$4:$K$1976,10,FALSE)</f>
        <v>29640</v>
      </c>
      <c r="V316" s="565"/>
      <c r="W316" s="565"/>
      <c r="X316" s="565"/>
      <c r="Y316" s="565"/>
      <c r="Z316" s="565"/>
      <c r="AA316" s="565">
        <f>VLOOKUP("УТ-00040743",'Выгрузка из 1С'!$B$4:$K$1976,10,FALSE)</f>
        <v>32400</v>
      </c>
      <c r="AB316" s="565"/>
      <c r="AC316" s="565"/>
      <c r="AD316" s="565"/>
      <c r="AE316" s="565"/>
      <c r="AF316" s="565"/>
      <c r="AG316" s="709" t="s">
        <v>925</v>
      </c>
      <c r="AH316" s="709"/>
      <c r="AI316" s="709"/>
      <c r="AJ316" s="709"/>
      <c r="AK316" s="709"/>
      <c r="AL316" s="709"/>
      <c r="AM316" s="708" t="s">
        <v>925</v>
      </c>
      <c r="AN316" s="708"/>
      <c r="AO316" s="708"/>
      <c r="AP316" s="708"/>
      <c r="AQ316" s="708"/>
      <c r="AR316" s="708"/>
      <c r="AS316" s="708"/>
    </row>
    <row r="317" spans="1:50" s="244" customFormat="1" ht="15" customHeight="1" x14ac:dyDescent="0.25">
      <c r="A317" s="272"/>
      <c r="B317" s="7"/>
      <c r="C317" s="704">
        <v>50</v>
      </c>
      <c r="D317" s="705"/>
      <c r="E317" s="705"/>
      <c r="F317" s="705"/>
      <c r="G317" s="705"/>
      <c r="H317" s="705"/>
      <c r="I317" s="565">
        <f>VLOOKUP("УТ-00040144",'Выгрузка из 1С'!$B$4:$K$1976,10,FALSE)</f>
        <v>39000</v>
      </c>
      <c r="J317" s="565"/>
      <c r="K317" s="565"/>
      <c r="L317" s="565"/>
      <c r="M317" s="565"/>
      <c r="N317" s="565"/>
      <c r="O317" s="565">
        <f>VLOOKUP("УТ-00041583",'Выгрузка из 1С'!$B$4:$K$1976,10,FALSE)</f>
        <v>42600</v>
      </c>
      <c r="P317" s="565"/>
      <c r="Q317" s="565"/>
      <c r="R317" s="565"/>
      <c r="S317" s="565"/>
      <c r="T317" s="565"/>
      <c r="U317" s="565">
        <f>VLOOKUP("УТ-00041572",'Выгрузка из 1С'!$B$4:$K$1976,10,FALSE)</f>
        <v>32400</v>
      </c>
      <c r="V317" s="565"/>
      <c r="W317" s="565"/>
      <c r="X317" s="565"/>
      <c r="Y317" s="565"/>
      <c r="Z317" s="565"/>
      <c r="AA317" s="565">
        <f>VLOOKUP("УТ-00040872",'Выгрузка из 1С'!$B$4:$K$1976,10,FALSE)</f>
        <v>36000</v>
      </c>
      <c r="AB317" s="565"/>
      <c r="AC317" s="565"/>
      <c r="AD317" s="565"/>
      <c r="AE317" s="565"/>
      <c r="AF317" s="565"/>
      <c r="AG317" s="709" t="s">
        <v>925</v>
      </c>
      <c r="AH317" s="709"/>
      <c r="AI317" s="709"/>
      <c r="AJ317" s="709"/>
      <c r="AK317" s="709"/>
      <c r="AL317" s="709"/>
      <c r="AM317" s="708" t="s">
        <v>925</v>
      </c>
      <c r="AN317" s="708"/>
      <c r="AO317" s="708"/>
      <c r="AP317" s="708"/>
      <c r="AQ317" s="708"/>
      <c r="AR317" s="708"/>
      <c r="AS317" s="708"/>
    </row>
    <row r="318" spans="1:50" s="244" customFormat="1" ht="15" customHeight="1" x14ac:dyDescent="0.25">
      <c r="A318" s="272"/>
      <c r="B318" s="7"/>
      <c r="C318" s="704">
        <v>65</v>
      </c>
      <c r="D318" s="705"/>
      <c r="E318" s="705"/>
      <c r="F318" s="705"/>
      <c r="G318" s="705"/>
      <c r="H318" s="705"/>
      <c r="I318" s="565">
        <f>VLOOKUP("УТ-00040932",'Выгрузка из 1С'!$B$4:$K$1976,10,FALSE)</f>
        <v>44400</v>
      </c>
      <c r="J318" s="565"/>
      <c r="K318" s="565"/>
      <c r="L318" s="565"/>
      <c r="M318" s="565"/>
      <c r="N318" s="565"/>
      <c r="O318" s="565">
        <f>VLOOKUP("УТ-00040173",'Выгрузка из 1С'!$B$4:$K$1976,10,FALSE)</f>
        <v>49200</v>
      </c>
      <c r="P318" s="565"/>
      <c r="Q318" s="565"/>
      <c r="R318" s="565"/>
      <c r="S318" s="565"/>
      <c r="T318" s="565"/>
      <c r="U318" s="565" t="s">
        <v>881</v>
      </c>
      <c r="V318" s="565"/>
      <c r="W318" s="565"/>
      <c r="X318" s="565"/>
      <c r="Y318" s="565"/>
      <c r="Z318" s="565"/>
      <c r="AA318" s="565" t="s">
        <v>881</v>
      </c>
      <c r="AB318" s="565"/>
      <c r="AC318" s="565"/>
      <c r="AD318" s="565"/>
      <c r="AE318" s="565"/>
      <c r="AF318" s="565"/>
      <c r="AG318" s="565" t="s">
        <v>925</v>
      </c>
      <c r="AH318" s="565"/>
      <c r="AI318" s="565"/>
      <c r="AJ318" s="565"/>
      <c r="AK318" s="565"/>
      <c r="AL318" s="565"/>
      <c r="AM318" s="708" t="s">
        <v>925</v>
      </c>
      <c r="AN318" s="708"/>
      <c r="AO318" s="708"/>
      <c r="AP318" s="708"/>
      <c r="AQ318" s="708"/>
      <c r="AR318" s="708"/>
      <c r="AS318" s="708"/>
    </row>
    <row r="319" spans="1:50" s="244" customFormat="1" ht="15" customHeight="1" x14ac:dyDescent="0.25">
      <c r="A319" s="272"/>
      <c r="B319" s="7"/>
      <c r="C319" s="704">
        <v>80</v>
      </c>
      <c r="D319" s="705"/>
      <c r="E319" s="705"/>
      <c r="F319" s="705"/>
      <c r="G319" s="705"/>
      <c r="H319" s="705"/>
      <c r="I319" s="565">
        <f>VLOOKUP("УТ-00040977",'Выгрузка из 1С'!$B$4:$K$1976,10,FALSE)</f>
        <v>51000</v>
      </c>
      <c r="J319" s="565"/>
      <c r="K319" s="565"/>
      <c r="L319" s="565"/>
      <c r="M319" s="565"/>
      <c r="N319" s="565"/>
      <c r="O319" s="565">
        <f>VLOOKUP("УТ-00041612",'Выгрузка из 1С'!$B$4:$K$1976,10,FALSE)</f>
        <v>54000</v>
      </c>
      <c r="P319" s="565"/>
      <c r="Q319" s="565"/>
      <c r="R319" s="565"/>
      <c r="S319" s="565"/>
      <c r="T319" s="565"/>
      <c r="U319" s="565" t="s">
        <v>881</v>
      </c>
      <c r="V319" s="565"/>
      <c r="W319" s="565"/>
      <c r="X319" s="565"/>
      <c r="Y319" s="565"/>
      <c r="Z319" s="565"/>
      <c r="AA319" s="565" t="s">
        <v>881</v>
      </c>
      <c r="AB319" s="565"/>
      <c r="AC319" s="565"/>
      <c r="AD319" s="565"/>
      <c r="AE319" s="565"/>
      <c r="AF319" s="565"/>
      <c r="AG319" s="565" t="s">
        <v>925</v>
      </c>
      <c r="AH319" s="565"/>
      <c r="AI319" s="565"/>
      <c r="AJ319" s="565"/>
      <c r="AK319" s="565"/>
      <c r="AL319" s="565"/>
      <c r="AM319" s="708" t="s">
        <v>925</v>
      </c>
      <c r="AN319" s="708"/>
      <c r="AO319" s="708"/>
      <c r="AP319" s="708"/>
      <c r="AQ319" s="708"/>
      <c r="AR319" s="708"/>
      <c r="AS319" s="708"/>
    </row>
    <row r="320" spans="1:50" s="244" customFormat="1" ht="15" customHeight="1" x14ac:dyDescent="0.25">
      <c r="A320" s="272"/>
      <c r="B320" s="7"/>
      <c r="C320" s="704">
        <v>100</v>
      </c>
      <c r="D320" s="705"/>
      <c r="E320" s="705"/>
      <c r="F320" s="705"/>
      <c r="G320" s="705"/>
      <c r="H320" s="705"/>
      <c r="I320" s="565">
        <f>VLOOKUP("УТ-00041669",'Выгрузка из 1С'!$B$4:$K$1976,10,FALSE)</f>
        <v>55200</v>
      </c>
      <c r="J320" s="565"/>
      <c r="K320" s="565"/>
      <c r="L320" s="565"/>
      <c r="M320" s="565"/>
      <c r="N320" s="565"/>
      <c r="O320" s="565">
        <f>VLOOKUP("УТ-00041673",'Выгрузка из 1С'!$B$4:$K$1976,10,FALSE)</f>
        <v>60000</v>
      </c>
      <c r="P320" s="565"/>
      <c r="Q320" s="565"/>
      <c r="R320" s="565"/>
      <c r="S320" s="565"/>
      <c r="T320" s="565"/>
      <c r="U320" s="565" t="s">
        <v>881</v>
      </c>
      <c r="V320" s="565"/>
      <c r="W320" s="565"/>
      <c r="X320" s="565"/>
      <c r="Y320" s="565"/>
      <c r="Z320" s="565"/>
      <c r="AA320" s="565" t="s">
        <v>881</v>
      </c>
      <c r="AB320" s="565"/>
      <c r="AC320" s="565"/>
      <c r="AD320" s="565"/>
      <c r="AE320" s="565"/>
      <c r="AF320" s="565"/>
      <c r="AG320" s="565" t="s">
        <v>925</v>
      </c>
      <c r="AH320" s="565"/>
      <c r="AI320" s="565"/>
      <c r="AJ320" s="565"/>
      <c r="AK320" s="565"/>
      <c r="AL320" s="565"/>
      <c r="AM320" s="708" t="s">
        <v>925</v>
      </c>
      <c r="AN320" s="708"/>
      <c r="AO320" s="708"/>
      <c r="AP320" s="708"/>
      <c r="AQ320" s="708"/>
      <c r="AR320" s="708"/>
      <c r="AS320" s="708"/>
    </row>
    <row r="321" spans="1:50" s="244" customFormat="1" ht="15" customHeight="1" x14ac:dyDescent="0.25">
      <c r="A321" s="272"/>
      <c r="B321" s="7"/>
      <c r="C321" s="704">
        <v>150</v>
      </c>
      <c r="D321" s="705"/>
      <c r="E321" s="705"/>
      <c r="F321" s="705"/>
      <c r="G321" s="705"/>
      <c r="H321" s="705"/>
      <c r="I321" s="565">
        <f>VLOOKUP("УТ-00041016",'Выгрузка из 1С'!$B$4:$K$1976,10,FALSE)</f>
        <v>91200</v>
      </c>
      <c r="J321" s="565"/>
      <c r="K321" s="565"/>
      <c r="L321" s="565"/>
      <c r="M321" s="565"/>
      <c r="N321" s="565"/>
      <c r="O321" s="565">
        <f>VLOOKUP("УТ-00041018",'Выгрузка из 1С'!$B$4:$K$1976,10,FALSE)</f>
        <v>98400</v>
      </c>
      <c r="P321" s="565"/>
      <c r="Q321" s="565"/>
      <c r="R321" s="565"/>
      <c r="S321" s="565"/>
      <c r="T321" s="565"/>
      <c r="U321" s="707" t="s">
        <v>925</v>
      </c>
      <c r="V321" s="707"/>
      <c r="W321" s="707"/>
      <c r="X321" s="707"/>
      <c r="Y321" s="707"/>
      <c r="Z321" s="707"/>
      <c r="AA321" s="707" t="s">
        <v>925</v>
      </c>
      <c r="AB321" s="707"/>
      <c r="AC321" s="707"/>
      <c r="AD321" s="707"/>
      <c r="AE321" s="707"/>
      <c r="AF321" s="707"/>
      <c r="AG321" s="565" t="s">
        <v>925</v>
      </c>
      <c r="AH321" s="565"/>
      <c r="AI321" s="565"/>
      <c r="AJ321" s="565"/>
      <c r="AK321" s="565"/>
      <c r="AL321" s="565"/>
      <c r="AM321" s="708" t="s">
        <v>925</v>
      </c>
      <c r="AN321" s="708"/>
      <c r="AO321" s="708"/>
      <c r="AP321" s="708"/>
      <c r="AQ321" s="708"/>
      <c r="AR321" s="708"/>
      <c r="AS321" s="708"/>
    </row>
    <row r="322" spans="1:50" s="244" customFormat="1" ht="15" customHeight="1" x14ac:dyDescent="0.25">
      <c r="A322" s="272"/>
      <c r="B322" s="7"/>
      <c r="C322" s="704">
        <v>200</v>
      </c>
      <c r="D322" s="705"/>
      <c r="E322" s="705"/>
      <c r="F322" s="705"/>
      <c r="G322" s="705"/>
      <c r="H322" s="705"/>
      <c r="I322" s="565">
        <f>VLOOKUP("УТ-00041729",'Выгрузка из 1С'!$B$4:$K$1976,10,FALSE)</f>
        <v>138000</v>
      </c>
      <c r="J322" s="565"/>
      <c r="K322" s="565"/>
      <c r="L322" s="565"/>
      <c r="M322" s="565"/>
      <c r="N322" s="565"/>
      <c r="O322" s="565">
        <f>VLOOKUP("УТ-00041062",'Выгрузка из 1С'!$B$4:$K$1976,10,FALSE)</f>
        <v>144000</v>
      </c>
      <c r="P322" s="565"/>
      <c r="Q322" s="565"/>
      <c r="R322" s="565"/>
      <c r="S322" s="565"/>
      <c r="T322" s="565"/>
      <c r="U322" s="707" t="s">
        <v>925</v>
      </c>
      <c r="V322" s="707"/>
      <c r="W322" s="707"/>
      <c r="X322" s="707"/>
      <c r="Y322" s="707"/>
      <c r="Z322" s="707"/>
      <c r="AA322" s="707" t="s">
        <v>925</v>
      </c>
      <c r="AB322" s="707"/>
      <c r="AC322" s="707"/>
      <c r="AD322" s="707"/>
      <c r="AE322" s="707"/>
      <c r="AF322" s="707"/>
      <c r="AG322" s="565" t="s">
        <v>925</v>
      </c>
      <c r="AH322" s="565"/>
      <c r="AI322" s="565"/>
      <c r="AJ322" s="565"/>
      <c r="AK322" s="565"/>
      <c r="AL322" s="565"/>
      <c r="AM322" s="708" t="s">
        <v>925</v>
      </c>
      <c r="AN322" s="708"/>
      <c r="AO322" s="708"/>
      <c r="AP322" s="708"/>
      <c r="AQ322" s="708"/>
      <c r="AR322" s="708"/>
      <c r="AS322" s="708"/>
    </row>
    <row r="323" spans="1:50" s="244" customFormat="1" ht="15" customHeight="1" x14ac:dyDescent="0.25">
      <c r="A323" s="272"/>
      <c r="B323" s="7"/>
      <c r="C323" s="704">
        <v>300</v>
      </c>
      <c r="D323" s="705"/>
      <c r="E323" s="705"/>
      <c r="F323" s="705"/>
      <c r="G323" s="705"/>
      <c r="H323" s="705"/>
      <c r="I323" s="565" t="s">
        <v>881</v>
      </c>
      <c r="J323" s="565"/>
      <c r="K323" s="565"/>
      <c r="L323" s="565"/>
      <c r="M323" s="565"/>
      <c r="N323" s="565"/>
      <c r="O323" s="565" t="s">
        <v>881</v>
      </c>
      <c r="P323" s="565"/>
      <c r="Q323" s="565"/>
      <c r="R323" s="565"/>
      <c r="S323" s="565"/>
      <c r="T323" s="565"/>
      <c r="U323" s="707" t="s">
        <v>925</v>
      </c>
      <c r="V323" s="707"/>
      <c r="W323" s="707"/>
      <c r="X323" s="707"/>
      <c r="Y323" s="707"/>
      <c r="Z323" s="707"/>
      <c r="AA323" s="707" t="s">
        <v>925</v>
      </c>
      <c r="AB323" s="707"/>
      <c r="AC323" s="707"/>
      <c r="AD323" s="707"/>
      <c r="AE323" s="707"/>
      <c r="AF323" s="707"/>
      <c r="AG323" s="565" t="s">
        <v>925</v>
      </c>
      <c r="AH323" s="565"/>
      <c r="AI323" s="565"/>
      <c r="AJ323" s="565"/>
      <c r="AK323" s="565"/>
      <c r="AL323" s="565"/>
      <c r="AM323" s="708" t="s">
        <v>925</v>
      </c>
      <c r="AN323" s="708"/>
      <c r="AO323" s="708"/>
      <c r="AP323" s="708"/>
      <c r="AQ323" s="708"/>
      <c r="AR323" s="708"/>
      <c r="AS323" s="708"/>
    </row>
    <row r="324" spans="1:50" s="19" customFormat="1" x14ac:dyDescent="0.25">
      <c r="A324" s="170"/>
      <c r="B324" s="17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W324" s="25"/>
      <c r="AX324" s="25"/>
    </row>
    <row r="325" spans="1:50" s="203" customFormat="1" x14ac:dyDescent="0.25">
      <c r="A325" s="17"/>
      <c r="B325" s="17"/>
      <c r="C325" s="564" t="s">
        <v>66</v>
      </c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64"/>
      <c r="AC325" s="564"/>
      <c r="AD325" s="564"/>
      <c r="AE325" s="564"/>
      <c r="AF325" s="564"/>
      <c r="AG325" s="564"/>
      <c r="AH325" s="564"/>
      <c r="AI325" s="564"/>
      <c r="AJ325" s="564"/>
      <c r="AK325" s="564"/>
      <c r="AL325" s="564"/>
      <c r="AM325" s="564"/>
      <c r="AN325" s="462" t="s">
        <v>907</v>
      </c>
      <c r="AO325" s="462"/>
      <c r="AP325" s="462"/>
      <c r="AQ325" s="462"/>
      <c r="AR325" s="462"/>
      <c r="AS325" s="462"/>
    </row>
    <row r="326" spans="1:50" s="179" customFormat="1" x14ac:dyDescent="0.25">
      <c r="A326" s="170"/>
      <c r="B326" s="170"/>
      <c r="C326" s="563" t="s">
        <v>938</v>
      </c>
      <c r="D326" s="563"/>
      <c r="E326" s="563"/>
      <c r="F326" s="563"/>
      <c r="G326" s="563"/>
      <c r="H326" s="563"/>
      <c r="I326" s="563"/>
      <c r="J326" s="563"/>
      <c r="K326" s="563"/>
      <c r="L326" s="563"/>
      <c r="M326" s="563"/>
      <c r="N326" s="563"/>
      <c r="O326" s="563"/>
      <c r="P326" s="563"/>
      <c r="Q326" s="563"/>
      <c r="R326" s="563"/>
      <c r="S326" s="563"/>
      <c r="T326" s="563"/>
      <c r="U326" s="563"/>
      <c r="V326" s="563"/>
      <c r="W326" s="563"/>
      <c r="X326" s="563"/>
      <c r="Y326" s="563"/>
      <c r="Z326" s="563"/>
      <c r="AA326" s="563"/>
      <c r="AB326" s="563"/>
      <c r="AC326" s="563"/>
      <c r="AD326" s="563"/>
      <c r="AE326" s="563"/>
      <c r="AF326" s="563"/>
      <c r="AG326" s="563"/>
      <c r="AH326" s="563"/>
      <c r="AI326" s="563"/>
      <c r="AJ326" s="563"/>
      <c r="AK326" s="563"/>
      <c r="AL326" s="563"/>
      <c r="AM326" s="563"/>
      <c r="AN326" s="380">
        <v>1800</v>
      </c>
      <c r="AO326" s="381"/>
      <c r="AP326" s="381"/>
      <c r="AQ326" s="381"/>
      <c r="AR326" s="381"/>
      <c r="AS326" s="381"/>
      <c r="AW326" s="245"/>
      <c r="AX326" s="245"/>
    </row>
    <row r="327" spans="1:50" s="179" customFormat="1" x14ac:dyDescent="0.25">
      <c r="A327" s="170"/>
      <c r="B327" s="170"/>
      <c r="C327" s="563" t="s">
        <v>153</v>
      </c>
      <c r="D327" s="563"/>
      <c r="E327" s="563"/>
      <c r="F327" s="563"/>
      <c r="G327" s="563"/>
      <c r="H327" s="563"/>
      <c r="I327" s="563"/>
      <c r="J327" s="563"/>
      <c r="K327" s="563"/>
      <c r="L327" s="563"/>
      <c r="M327" s="563"/>
      <c r="N327" s="563"/>
      <c r="O327" s="563"/>
      <c r="P327" s="563"/>
      <c r="Q327" s="563"/>
      <c r="R327" s="563"/>
      <c r="S327" s="563"/>
      <c r="T327" s="563"/>
      <c r="U327" s="563"/>
      <c r="V327" s="563"/>
      <c r="W327" s="563"/>
      <c r="X327" s="563"/>
      <c r="Y327" s="563"/>
      <c r="Z327" s="563"/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/>
      <c r="AM327" s="563"/>
      <c r="AN327" s="380">
        <v>3600</v>
      </c>
      <c r="AO327" s="381"/>
      <c r="AP327" s="381"/>
      <c r="AQ327" s="381"/>
      <c r="AR327" s="381"/>
      <c r="AS327" s="381"/>
      <c r="AW327" s="245"/>
      <c r="AX327" s="245"/>
    </row>
    <row r="328" spans="1:50" s="179" customFormat="1" x14ac:dyDescent="0.25">
      <c r="A328" s="170"/>
      <c r="B328" s="170"/>
      <c r="C328" s="563" t="s">
        <v>939</v>
      </c>
      <c r="D328" s="563"/>
      <c r="E328" s="563"/>
      <c r="F328" s="563"/>
      <c r="G328" s="563"/>
      <c r="H328" s="563"/>
      <c r="I328" s="563"/>
      <c r="J328" s="563"/>
      <c r="K328" s="563"/>
      <c r="L328" s="563"/>
      <c r="M328" s="563"/>
      <c r="N328" s="563"/>
      <c r="O328" s="563"/>
      <c r="P328" s="563"/>
      <c r="Q328" s="563"/>
      <c r="R328" s="563"/>
      <c r="S328" s="563"/>
      <c r="T328" s="563"/>
      <c r="U328" s="563"/>
      <c r="V328" s="563"/>
      <c r="W328" s="563"/>
      <c r="X328" s="563"/>
      <c r="Y328" s="563"/>
      <c r="Z328" s="563"/>
      <c r="AA328" s="563"/>
      <c r="AB328" s="563"/>
      <c r="AC328" s="563"/>
      <c r="AD328" s="563"/>
      <c r="AE328" s="563"/>
      <c r="AF328" s="563"/>
      <c r="AG328" s="563"/>
      <c r="AH328" s="563"/>
      <c r="AI328" s="563"/>
      <c r="AJ328" s="563"/>
      <c r="AK328" s="563"/>
      <c r="AL328" s="563"/>
      <c r="AM328" s="563"/>
      <c r="AN328" s="380">
        <v>0</v>
      </c>
      <c r="AO328" s="381"/>
      <c r="AP328" s="381"/>
      <c r="AQ328" s="381"/>
      <c r="AR328" s="381"/>
      <c r="AS328" s="381"/>
      <c r="AW328" s="245"/>
      <c r="AX328" s="245"/>
    </row>
    <row r="329" spans="1:50" s="179" customFormat="1" x14ac:dyDescent="0.25">
      <c r="A329" s="170"/>
      <c r="B329" s="170"/>
      <c r="C329" s="563" t="s">
        <v>940</v>
      </c>
      <c r="D329" s="563"/>
      <c r="E329" s="563"/>
      <c r="F329" s="563"/>
      <c r="G329" s="563"/>
      <c r="H329" s="563"/>
      <c r="I329" s="563"/>
      <c r="J329" s="563"/>
      <c r="K329" s="563"/>
      <c r="L329" s="563"/>
      <c r="M329" s="563"/>
      <c r="N329" s="563"/>
      <c r="O329" s="563"/>
      <c r="P329" s="563"/>
      <c r="Q329" s="563"/>
      <c r="R329" s="563"/>
      <c r="S329" s="563"/>
      <c r="T329" s="563"/>
      <c r="U329" s="563"/>
      <c r="V329" s="563"/>
      <c r="W329" s="563"/>
      <c r="X329" s="563"/>
      <c r="Y329" s="563"/>
      <c r="Z329" s="563"/>
      <c r="AA329" s="563"/>
      <c r="AB329" s="563"/>
      <c r="AC329" s="563"/>
      <c r="AD329" s="563"/>
      <c r="AE329" s="563"/>
      <c r="AF329" s="563"/>
      <c r="AG329" s="563"/>
      <c r="AH329" s="563"/>
      <c r="AI329" s="563"/>
      <c r="AJ329" s="563"/>
      <c r="AK329" s="563"/>
      <c r="AL329" s="563"/>
      <c r="AM329" s="563"/>
      <c r="AN329" s="380">
        <v>1800</v>
      </c>
      <c r="AO329" s="381"/>
      <c r="AP329" s="381"/>
      <c r="AQ329" s="381"/>
      <c r="AR329" s="381"/>
      <c r="AS329" s="381"/>
      <c r="AW329" s="245"/>
      <c r="AX329" s="245"/>
    </row>
    <row r="330" spans="1:50" s="179" customFormat="1" x14ac:dyDescent="0.25">
      <c r="A330" s="170"/>
      <c r="B330" s="170"/>
      <c r="C330" s="563" t="s">
        <v>941</v>
      </c>
      <c r="D330" s="563"/>
      <c r="E330" s="563"/>
      <c r="F330" s="563"/>
      <c r="G330" s="563"/>
      <c r="H330" s="563"/>
      <c r="I330" s="563"/>
      <c r="J330" s="563"/>
      <c r="K330" s="563"/>
      <c r="L330" s="563"/>
      <c r="M330" s="563"/>
      <c r="N330" s="563"/>
      <c r="O330" s="563"/>
      <c r="P330" s="563"/>
      <c r="Q330" s="563"/>
      <c r="R330" s="563"/>
      <c r="S330" s="563"/>
      <c r="T330" s="563"/>
      <c r="U330" s="563"/>
      <c r="V330" s="563"/>
      <c r="W330" s="563"/>
      <c r="X330" s="563"/>
      <c r="Y330" s="563"/>
      <c r="Z330" s="563"/>
      <c r="AA330" s="563"/>
      <c r="AB330" s="563"/>
      <c r="AC330" s="563"/>
      <c r="AD330" s="563"/>
      <c r="AE330" s="563"/>
      <c r="AF330" s="563"/>
      <c r="AG330" s="563"/>
      <c r="AH330" s="563"/>
      <c r="AI330" s="563"/>
      <c r="AJ330" s="563"/>
      <c r="AK330" s="563"/>
      <c r="AL330" s="563"/>
      <c r="AM330" s="563"/>
      <c r="AN330" s="380">
        <v>6000</v>
      </c>
      <c r="AO330" s="381"/>
      <c r="AP330" s="381"/>
      <c r="AQ330" s="381"/>
      <c r="AR330" s="381"/>
      <c r="AS330" s="381"/>
      <c r="AW330" s="245"/>
      <c r="AX330" s="245"/>
    </row>
    <row r="331" spans="1:50" s="179" customFormat="1" x14ac:dyDescent="0.25">
      <c r="A331" s="170"/>
      <c r="B331" s="170"/>
      <c r="C331" s="563" t="s">
        <v>882</v>
      </c>
      <c r="D331" s="563"/>
      <c r="E331" s="563"/>
      <c r="F331" s="563"/>
      <c r="G331" s="563"/>
      <c r="H331" s="563"/>
      <c r="I331" s="563"/>
      <c r="J331" s="563"/>
      <c r="K331" s="563"/>
      <c r="L331" s="563"/>
      <c r="M331" s="563"/>
      <c r="N331" s="563"/>
      <c r="O331" s="563"/>
      <c r="P331" s="563"/>
      <c r="Q331" s="563"/>
      <c r="R331" s="563"/>
      <c r="S331" s="563"/>
      <c r="T331" s="563"/>
      <c r="U331" s="563"/>
      <c r="V331" s="563"/>
      <c r="W331" s="563"/>
      <c r="X331" s="563"/>
      <c r="Y331" s="563"/>
      <c r="Z331" s="563"/>
      <c r="AA331" s="563"/>
      <c r="AB331" s="563"/>
      <c r="AC331" s="563"/>
      <c r="AD331" s="563"/>
      <c r="AE331" s="563"/>
      <c r="AF331" s="563"/>
      <c r="AG331" s="563"/>
      <c r="AH331" s="563"/>
      <c r="AI331" s="563"/>
      <c r="AJ331" s="563"/>
      <c r="AK331" s="563"/>
      <c r="AL331" s="563"/>
      <c r="AM331" s="563"/>
      <c r="AN331" s="380">
        <v>600</v>
      </c>
      <c r="AO331" s="381"/>
      <c r="AP331" s="381"/>
      <c r="AQ331" s="381"/>
      <c r="AR331" s="381"/>
      <c r="AS331" s="381"/>
      <c r="AW331" s="245"/>
      <c r="AX331" s="245"/>
    </row>
    <row r="332" spans="1:50" s="19" customFormat="1" x14ac:dyDescent="0.25">
      <c r="A332" s="170"/>
      <c r="B332" s="17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W332" s="25"/>
      <c r="AX332" s="25"/>
    </row>
    <row r="333" spans="1:50" s="202" customFormat="1" x14ac:dyDescent="0.25">
      <c r="A333" s="17"/>
      <c r="B333" s="17"/>
      <c r="C333" s="212" t="s">
        <v>70</v>
      </c>
      <c r="D333" s="214"/>
      <c r="E333" s="214"/>
      <c r="F333" s="214"/>
      <c r="G333" s="214"/>
      <c r="H333" s="214"/>
      <c r="I333" s="214"/>
      <c r="J333" s="214"/>
      <c r="K333" s="214"/>
      <c r="L333" s="214"/>
      <c r="M333" s="214"/>
      <c r="N333" s="214"/>
      <c r="O333" s="214"/>
      <c r="P333" s="214"/>
      <c r="Q333" s="214"/>
      <c r="R333" s="214"/>
      <c r="S333" s="214"/>
      <c r="T333" s="214"/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5"/>
    </row>
    <row r="334" spans="1:50" s="19" customFormat="1" ht="50.25" customHeight="1" x14ac:dyDescent="0.25">
      <c r="A334" s="170"/>
      <c r="B334" s="170"/>
      <c r="C334" s="549" t="s">
        <v>106</v>
      </c>
      <c r="D334" s="549"/>
      <c r="E334" s="549"/>
      <c r="F334" s="549"/>
      <c r="G334" s="549"/>
      <c r="H334" s="549"/>
      <c r="I334" s="549"/>
      <c r="J334" s="575" t="s">
        <v>933</v>
      </c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 t="s">
        <v>942</v>
      </c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 t="s">
        <v>943</v>
      </c>
      <c r="AI334" s="575"/>
      <c r="AJ334" s="575"/>
      <c r="AK334" s="575"/>
      <c r="AL334" s="575"/>
      <c r="AM334" s="575"/>
      <c r="AN334" s="575"/>
      <c r="AO334" s="575"/>
      <c r="AP334" s="575"/>
      <c r="AQ334" s="575"/>
      <c r="AR334" s="575"/>
      <c r="AS334" s="575"/>
      <c r="AW334" s="25"/>
      <c r="AX334" s="25"/>
    </row>
    <row r="335" spans="1:50" s="19" customFormat="1" ht="15" customHeight="1" x14ac:dyDescent="0.25">
      <c r="A335" s="576"/>
      <c r="B335" s="170"/>
      <c r="C335" s="375">
        <v>15</v>
      </c>
      <c r="D335" s="375"/>
      <c r="E335" s="375"/>
      <c r="F335" s="375"/>
      <c r="G335" s="375"/>
      <c r="H335" s="375"/>
      <c r="I335" s="375"/>
      <c r="J335" s="577">
        <f>VLOOKUP("00-00039302",'Выгрузка из 1С'!$B$4:$K$1976,10,FALSE)</f>
        <v>2760</v>
      </c>
      <c r="K335" s="578"/>
      <c r="L335" s="578"/>
      <c r="M335" s="578"/>
      <c r="N335" s="578"/>
      <c r="O335" s="578"/>
      <c r="P335" s="578"/>
      <c r="Q335" s="578"/>
      <c r="R335" s="578"/>
      <c r="S335" s="578"/>
      <c r="T335" s="579"/>
      <c r="U335" s="577" t="s">
        <v>881</v>
      </c>
      <c r="V335" s="578"/>
      <c r="W335" s="578"/>
      <c r="X335" s="578"/>
      <c r="Y335" s="578"/>
      <c r="Z335" s="578"/>
      <c r="AA335" s="578"/>
      <c r="AB335" s="578"/>
      <c r="AC335" s="578"/>
      <c r="AD335" s="578"/>
      <c r="AE335" s="578"/>
      <c r="AF335" s="578"/>
      <c r="AG335" s="579"/>
      <c r="AH335" s="572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4"/>
      <c r="AW335" s="25"/>
      <c r="AX335" s="25"/>
    </row>
    <row r="336" spans="1:50" s="19" customFormat="1" ht="15" customHeight="1" x14ac:dyDescent="0.25">
      <c r="A336" s="576"/>
      <c r="B336" s="170"/>
      <c r="C336" s="375">
        <v>20</v>
      </c>
      <c r="D336" s="375"/>
      <c r="E336" s="375"/>
      <c r="F336" s="375"/>
      <c r="G336" s="375"/>
      <c r="H336" s="375"/>
      <c r="I336" s="375"/>
      <c r="J336" s="577">
        <f>VLOOKUP("00-00039303",'Выгрузка из 1С'!$B$4:$K$1976,10,FALSE)</f>
        <v>3000</v>
      </c>
      <c r="K336" s="578"/>
      <c r="L336" s="578"/>
      <c r="M336" s="578"/>
      <c r="N336" s="578"/>
      <c r="O336" s="578"/>
      <c r="P336" s="578"/>
      <c r="Q336" s="578"/>
      <c r="R336" s="578"/>
      <c r="S336" s="578"/>
      <c r="T336" s="579"/>
      <c r="U336" s="577">
        <f>VLOOKUP("00-00039297",'Выгрузка из 1С'!$B$4:$K$1976,10,FALSE)</f>
        <v>3000</v>
      </c>
      <c r="V336" s="578"/>
      <c r="W336" s="578"/>
      <c r="X336" s="578"/>
      <c r="Y336" s="578"/>
      <c r="Z336" s="578"/>
      <c r="AA336" s="578"/>
      <c r="AB336" s="578"/>
      <c r="AC336" s="578"/>
      <c r="AD336" s="578"/>
      <c r="AE336" s="578"/>
      <c r="AF336" s="578"/>
      <c r="AG336" s="579"/>
      <c r="AH336" s="572">
        <f>VLOOKUP("00-00039294",'Выгрузка из 1С'!$B$4:$K$1976,10,FALSE)</f>
        <v>4200</v>
      </c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4"/>
      <c r="AW336" s="25"/>
      <c r="AX336" s="25"/>
    </row>
    <row r="337" spans="1:50" s="19" customFormat="1" ht="15" customHeight="1" x14ac:dyDescent="0.25">
      <c r="A337" s="576"/>
      <c r="B337" s="170"/>
      <c r="C337" s="375">
        <v>25</v>
      </c>
      <c r="D337" s="375"/>
      <c r="E337" s="375"/>
      <c r="F337" s="375"/>
      <c r="G337" s="375"/>
      <c r="H337" s="375"/>
      <c r="I337" s="375"/>
      <c r="J337" s="577">
        <f>VLOOKUP("00-00039304",'Выгрузка из 1С'!$B$4:$K$1976,10,FALSE)</f>
        <v>3120</v>
      </c>
      <c r="K337" s="578"/>
      <c r="L337" s="578"/>
      <c r="M337" s="578"/>
      <c r="N337" s="578"/>
      <c r="O337" s="578"/>
      <c r="P337" s="578"/>
      <c r="Q337" s="578"/>
      <c r="R337" s="578"/>
      <c r="S337" s="578"/>
      <c r="T337" s="579"/>
      <c r="U337" s="577">
        <f>VLOOKUP("00-00039298",'Выгрузка из 1С'!$B$4:$K$1976,10,FALSE)</f>
        <v>3120</v>
      </c>
      <c r="V337" s="578"/>
      <c r="W337" s="578"/>
      <c r="X337" s="578"/>
      <c r="Y337" s="578"/>
      <c r="Z337" s="578"/>
      <c r="AA337" s="578"/>
      <c r="AB337" s="578"/>
      <c r="AC337" s="578"/>
      <c r="AD337" s="578"/>
      <c r="AE337" s="578"/>
      <c r="AF337" s="578"/>
      <c r="AG337" s="579"/>
      <c r="AH337" s="572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4"/>
      <c r="AW337" s="25"/>
      <c r="AX337" s="25"/>
    </row>
    <row r="338" spans="1:50" s="19" customFormat="1" ht="15" customHeight="1" x14ac:dyDescent="0.25">
      <c r="A338" s="576"/>
      <c r="B338" s="170"/>
      <c r="C338" s="375">
        <v>32</v>
      </c>
      <c r="D338" s="375"/>
      <c r="E338" s="375"/>
      <c r="F338" s="375"/>
      <c r="G338" s="375"/>
      <c r="H338" s="375"/>
      <c r="I338" s="375"/>
      <c r="J338" s="577">
        <f>VLOOKUP("00-00039305",'Выгрузка из 1С'!$B$4:$K$1976,10,FALSE)</f>
        <v>3600</v>
      </c>
      <c r="K338" s="578"/>
      <c r="L338" s="578"/>
      <c r="M338" s="578"/>
      <c r="N338" s="578"/>
      <c r="O338" s="578"/>
      <c r="P338" s="578"/>
      <c r="Q338" s="578"/>
      <c r="R338" s="578"/>
      <c r="S338" s="578"/>
      <c r="T338" s="579"/>
      <c r="U338" s="577">
        <f>VLOOKUP("00-00039299",'Выгрузка из 1С'!$B$4:$K$1976,10,FALSE)</f>
        <v>3600</v>
      </c>
      <c r="V338" s="578"/>
      <c r="W338" s="578"/>
      <c r="X338" s="578"/>
      <c r="Y338" s="578"/>
      <c r="Z338" s="578"/>
      <c r="AA338" s="578"/>
      <c r="AB338" s="578"/>
      <c r="AC338" s="578"/>
      <c r="AD338" s="578"/>
      <c r="AE338" s="578"/>
      <c r="AF338" s="578"/>
      <c r="AG338" s="579"/>
      <c r="AH338" s="572">
        <f>VLOOKUP("00-00039295",'Выгрузка из 1С'!$B$4:$K$1976,10,FALSE)</f>
        <v>4800</v>
      </c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4"/>
      <c r="AW338" s="25"/>
      <c r="AX338" s="25"/>
    </row>
    <row r="339" spans="1:50" s="19" customFormat="1" ht="15" customHeight="1" x14ac:dyDescent="0.25">
      <c r="A339" s="576"/>
      <c r="B339" s="170"/>
      <c r="C339" s="375">
        <v>40</v>
      </c>
      <c r="D339" s="375"/>
      <c r="E339" s="375"/>
      <c r="F339" s="375"/>
      <c r="G339" s="375"/>
      <c r="H339" s="375"/>
      <c r="I339" s="375"/>
      <c r="J339" s="577">
        <f>VLOOKUP("00-00039306",'Выгрузка из 1С'!$B$4:$K$1976,10,FALSE)</f>
        <v>4200</v>
      </c>
      <c r="K339" s="578"/>
      <c r="L339" s="578"/>
      <c r="M339" s="578"/>
      <c r="N339" s="578"/>
      <c r="O339" s="578"/>
      <c r="P339" s="578"/>
      <c r="Q339" s="578"/>
      <c r="R339" s="578"/>
      <c r="S339" s="578"/>
      <c r="T339" s="579"/>
      <c r="U339" s="577">
        <f>VLOOKUP("00-00039300",'Выгрузка из 1С'!$B$4:$K$1976,10,FALSE)</f>
        <v>4200</v>
      </c>
      <c r="V339" s="578"/>
      <c r="W339" s="578"/>
      <c r="X339" s="578"/>
      <c r="Y339" s="578"/>
      <c r="Z339" s="578"/>
      <c r="AA339" s="578"/>
      <c r="AB339" s="578"/>
      <c r="AC339" s="578"/>
      <c r="AD339" s="578"/>
      <c r="AE339" s="578"/>
      <c r="AF339" s="578"/>
      <c r="AG339" s="579"/>
      <c r="AH339" s="572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4"/>
      <c r="AW339" s="25"/>
      <c r="AX339" s="25"/>
    </row>
    <row r="340" spans="1:50" s="19" customFormat="1" ht="15" customHeight="1" x14ac:dyDescent="0.25">
      <c r="A340" s="576"/>
      <c r="B340" s="170"/>
      <c r="C340" s="375">
        <v>50</v>
      </c>
      <c r="D340" s="375"/>
      <c r="E340" s="375"/>
      <c r="F340" s="375"/>
      <c r="G340" s="375"/>
      <c r="H340" s="375"/>
      <c r="I340" s="375"/>
      <c r="J340" s="577">
        <f>VLOOKUP("00-00039307",'Выгрузка из 1С'!$B$4:$K$1976,10,FALSE)</f>
        <v>5160</v>
      </c>
      <c r="K340" s="578"/>
      <c r="L340" s="578"/>
      <c r="M340" s="578"/>
      <c r="N340" s="578"/>
      <c r="O340" s="578"/>
      <c r="P340" s="578"/>
      <c r="Q340" s="578"/>
      <c r="R340" s="578"/>
      <c r="S340" s="578"/>
      <c r="T340" s="579"/>
      <c r="U340" s="577">
        <f>VLOOKUP("00-00039301",'Выгрузка из 1С'!$B$4:$K$1976,10,FALSE)</f>
        <v>4800</v>
      </c>
      <c r="V340" s="578"/>
      <c r="W340" s="578"/>
      <c r="X340" s="578"/>
      <c r="Y340" s="578"/>
      <c r="Z340" s="578"/>
      <c r="AA340" s="578"/>
      <c r="AB340" s="578"/>
      <c r="AC340" s="578"/>
      <c r="AD340" s="578"/>
      <c r="AE340" s="578"/>
      <c r="AF340" s="578"/>
      <c r="AG340" s="579"/>
      <c r="AH340" s="572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4"/>
      <c r="AW340" s="25"/>
      <c r="AX340" s="25"/>
    </row>
    <row r="341" spans="1:50" s="19" customFormat="1" ht="15" customHeight="1" x14ac:dyDescent="0.25">
      <c r="A341" s="576"/>
      <c r="B341" s="170"/>
      <c r="C341" s="375">
        <v>65</v>
      </c>
      <c r="D341" s="375"/>
      <c r="E341" s="375"/>
      <c r="F341" s="375"/>
      <c r="G341" s="375"/>
      <c r="H341" s="375"/>
      <c r="I341" s="375"/>
      <c r="J341" s="577">
        <f>VLOOKUP("00-00039308",'Выгрузка из 1С'!$B$4:$K$1976,10,FALSE)</f>
        <v>7800</v>
      </c>
      <c r="K341" s="578"/>
      <c r="L341" s="578"/>
      <c r="M341" s="578"/>
      <c r="N341" s="578"/>
      <c r="O341" s="578"/>
      <c r="P341" s="578"/>
      <c r="Q341" s="578"/>
      <c r="R341" s="578"/>
      <c r="S341" s="578"/>
      <c r="T341" s="579"/>
      <c r="U341" s="577" t="s">
        <v>881</v>
      </c>
      <c r="V341" s="578"/>
      <c r="W341" s="578"/>
      <c r="X341" s="578"/>
      <c r="Y341" s="578"/>
      <c r="Z341" s="578"/>
      <c r="AA341" s="578"/>
      <c r="AB341" s="578"/>
      <c r="AC341" s="578"/>
      <c r="AD341" s="578"/>
      <c r="AE341" s="578"/>
      <c r="AF341" s="578"/>
      <c r="AG341" s="579"/>
      <c r="AH341" s="572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4"/>
      <c r="AW341" s="25"/>
      <c r="AX341" s="25"/>
    </row>
    <row r="342" spans="1:50" s="19" customFormat="1" ht="15" customHeight="1" x14ac:dyDescent="0.25">
      <c r="A342" s="576"/>
      <c r="B342" s="170"/>
      <c r="C342" s="375">
        <v>80</v>
      </c>
      <c r="D342" s="375"/>
      <c r="E342" s="375"/>
      <c r="F342" s="375"/>
      <c r="G342" s="375"/>
      <c r="H342" s="375"/>
      <c r="I342" s="375"/>
      <c r="J342" s="577">
        <f>VLOOKUP("00-00039309",'Выгрузка из 1С'!$B$4:$K$1976,10,FALSE)</f>
        <v>10440</v>
      </c>
      <c r="K342" s="578"/>
      <c r="L342" s="578"/>
      <c r="M342" s="578"/>
      <c r="N342" s="578"/>
      <c r="O342" s="578"/>
      <c r="P342" s="578"/>
      <c r="Q342" s="578"/>
      <c r="R342" s="578"/>
      <c r="S342" s="578"/>
      <c r="T342" s="579"/>
      <c r="U342" s="577" t="s">
        <v>881</v>
      </c>
      <c r="V342" s="578"/>
      <c r="W342" s="578"/>
      <c r="X342" s="578"/>
      <c r="Y342" s="578"/>
      <c r="Z342" s="578"/>
      <c r="AA342" s="578"/>
      <c r="AB342" s="578"/>
      <c r="AC342" s="578"/>
      <c r="AD342" s="578"/>
      <c r="AE342" s="578"/>
      <c r="AF342" s="578"/>
      <c r="AG342" s="579"/>
      <c r="AH342" s="572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4"/>
      <c r="AW342" s="25"/>
      <c r="AX342" s="25"/>
    </row>
    <row r="343" spans="1:50" s="19" customFormat="1" ht="15" customHeight="1" x14ac:dyDescent="0.25">
      <c r="A343" s="576"/>
      <c r="B343" s="170"/>
      <c r="C343" s="375">
        <v>100</v>
      </c>
      <c r="D343" s="375"/>
      <c r="E343" s="375"/>
      <c r="F343" s="375"/>
      <c r="G343" s="375"/>
      <c r="H343" s="375"/>
      <c r="I343" s="375"/>
      <c r="J343" s="577">
        <f>VLOOKUP("00-00039310",'Выгрузка из 1С'!$B$4:$K$1976,10,FALSE)</f>
        <v>14400</v>
      </c>
      <c r="K343" s="578"/>
      <c r="L343" s="578"/>
      <c r="M343" s="578"/>
      <c r="N343" s="578"/>
      <c r="O343" s="578"/>
      <c r="P343" s="578"/>
      <c r="Q343" s="578"/>
      <c r="R343" s="578"/>
      <c r="S343" s="578"/>
      <c r="T343" s="579"/>
      <c r="U343" s="577" t="s">
        <v>881</v>
      </c>
      <c r="V343" s="578"/>
      <c r="W343" s="578"/>
      <c r="X343" s="578"/>
      <c r="Y343" s="578"/>
      <c r="Z343" s="578"/>
      <c r="AA343" s="578"/>
      <c r="AB343" s="578"/>
      <c r="AC343" s="578"/>
      <c r="AD343" s="578"/>
      <c r="AE343" s="578"/>
      <c r="AF343" s="578"/>
      <c r="AG343" s="579"/>
      <c r="AH343" s="572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4"/>
      <c r="AW343" s="25"/>
      <c r="AX343" s="25"/>
    </row>
    <row r="344" spans="1:50" s="19" customFormat="1" ht="15" customHeight="1" x14ac:dyDescent="0.25">
      <c r="A344" s="576"/>
      <c r="B344" s="170"/>
      <c r="C344" s="375">
        <v>150</v>
      </c>
      <c r="D344" s="375"/>
      <c r="E344" s="375"/>
      <c r="F344" s="375"/>
      <c r="G344" s="375"/>
      <c r="H344" s="375"/>
      <c r="I344" s="375"/>
      <c r="J344" s="577">
        <f>VLOOKUP("00-00039311",'Выгрузка из 1С'!$B$4:$K$1976,10,FALSE)</f>
        <v>22800</v>
      </c>
      <c r="K344" s="578"/>
      <c r="L344" s="578"/>
      <c r="M344" s="578"/>
      <c r="N344" s="578"/>
      <c r="O344" s="578"/>
      <c r="P344" s="578"/>
      <c r="Q344" s="578"/>
      <c r="R344" s="578"/>
      <c r="S344" s="578"/>
      <c r="T344" s="579"/>
      <c r="U344" s="577"/>
      <c r="V344" s="578"/>
      <c r="W344" s="578"/>
      <c r="X344" s="578"/>
      <c r="Y344" s="578"/>
      <c r="Z344" s="578"/>
      <c r="AA344" s="578"/>
      <c r="AB344" s="578"/>
      <c r="AC344" s="578"/>
      <c r="AD344" s="578"/>
      <c r="AE344" s="578"/>
      <c r="AF344" s="578"/>
      <c r="AG344" s="579"/>
      <c r="AH344" s="572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4"/>
      <c r="AW344" s="25"/>
      <c r="AX344" s="25"/>
    </row>
    <row r="345" spans="1:50" s="19" customFormat="1" ht="15" customHeight="1" x14ac:dyDescent="0.25">
      <c r="A345" s="576"/>
      <c r="B345" s="271"/>
      <c r="C345" s="375">
        <v>200</v>
      </c>
      <c r="D345" s="375"/>
      <c r="E345" s="375"/>
      <c r="F345" s="375"/>
      <c r="G345" s="375"/>
      <c r="H345" s="375"/>
      <c r="I345" s="375"/>
      <c r="J345" s="577">
        <f>VLOOKUP("00-00039312",'Выгрузка из 1С'!$B$4:$K$1976,10,FALSE)</f>
        <v>33600</v>
      </c>
      <c r="K345" s="578"/>
      <c r="L345" s="578"/>
      <c r="M345" s="578"/>
      <c r="N345" s="578"/>
      <c r="O345" s="578"/>
      <c r="P345" s="578"/>
      <c r="Q345" s="578"/>
      <c r="R345" s="578"/>
      <c r="S345" s="578"/>
      <c r="T345" s="579"/>
      <c r="U345" s="577"/>
      <c r="V345" s="578"/>
      <c r="W345" s="578"/>
      <c r="X345" s="578"/>
      <c r="Y345" s="578"/>
      <c r="Z345" s="578"/>
      <c r="AA345" s="578"/>
      <c r="AB345" s="578"/>
      <c r="AC345" s="578"/>
      <c r="AD345" s="578"/>
      <c r="AE345" s="578"/>
      <c r="AF345" s="578"/>
      <c r="AG345" s="579"/>
      <c r="AH345" s="572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4"/>
      <c r="AW345" s="25"/>
      <c r="AX345" s="25"/>
    </row>
    <row r="346" spans="1:50" s="19" customFormat="1" ht="15" customHeight="1" x14ac:dyDescent="0.25">
      <c r="A346" s="576"/>
      <c r="B346" s="170"/>
      <c r="C346" s="375">
        <v>300</v>
      </c>
      <c r="D346" s="375"/>
      <c r="E346" s="375"/>
      <c r="F346" s="375"/>
      <c r="G346" s="375"/>
      <c r="H346" s="375"/>
      <c r="I346" s="375"/>
      <c r="J346" s="577" t="s">
        <v>881</v>
      </c>
      <c r="K346" s="578"/>
      <c r="L346" s="578"/>
      <c r="M346" s="578"/>
      <c r="N346" s="578"/>
      <c r="O346" s="578"/>
      <c r="P346" s="578"/>
      <c r="Q346" s="578"/>
      <c r="R346" s="578"/>
      <c r="S346" s="578"/>
      <c r="T346" s="579"/>
      <c r="U346" s="577"/>
      <c r="V346" s="578"/>
      <c r="W346" s="578"/>
      <c r="X346" s="578"/>
      <c r="Y346" s="578"/>
      <c r="Z346" s="578"/>
      <c r="AA346" s="578"/>
      <c r="AB346" s="578"/>
      <c r="AC346" s="578"/>
      <c r="AD346" s="578"/>
      <c r="AE346" s="578"/>
      <c r="AF346" s="578"/>
      <c r="AG346" s="579"/>
      <c r="AH346" s="572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4"/>
      <c r="AW346" s="25"/>
      <c r="AX346" s="25"/>
    </row>
    <row r="347" spans="1:50" s="19" customFormat="1" ht="18" customHeight="1" x14ac:dyDescent="0.25">
      <c r="A347" s="170"/>
      <c r="B347" s="17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W347" s="25"/>
      <c r="AX347" s="25"/>
    </row>
    <row r="348" spans="1:50" s="202" customFormat="1" x14ac:dyDescent="0.25">
      <c r="A348" s="17"/>
      <c r="B348" s="17"/>
      <c r="C348" s="216" t="s">
        <v>71</v>
      </c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8"/>
    </row>
    <row r="349" spans="1:50" s="19" customFormat="1" ht="15" customHeight="1" x14ac:dyDescent="0.25">
      <c r="A349" s="170"/>
      <c r="B349" s="170"/>
      <c r="C349" s="549" t="s">
        <v>154</v>
      </c>
      <c r="D349" s="549"/>
      <c r="E349" s="549"/>
      <c r="F349" s="549"/>
      <c r="G349" s="549"/>
      <c r="H349" s="549"/>
      <c r="I349" s="549"/>
      <c r="J349" s="549"/>
      <c r="K349" s="549"/>
      <c r="L349" s="549"/>
      <c r="M349" s="549">
        <v>15</v>
      </c>
      <c r="N349" s="549"/>
      <c r="O349" s="549"/>
      <c r="P349" s="549">
        <v>20</v>
      </c>
      <c r="Q349" s="549"/>
      <c r="R349" s="549"/>
      <c r="S349" s="549">
        <v>25</v>
      </c>
      <c r="T349" s="549"/>
      <c r="U349" s="549"/>
      <c r="V349" s="549">
        <v>32</v>
      </c>
      <c r="W349" s="549"/>
      <c r="X349" s="549"/>
      <c r="Y349" s="549">
        <v>40</v>
      </c>
      <c r="Z349" s="549"/>
      <c r="AA349" s="549"/>
      <c r="AB349" s="549">
        <v>50</v>
      </c>
      <c r="AC349" s="549"/>
      <c r="AD349" s="549"/>
      <c r="AE349" s="549">
        <v>65</v>
      </c>
      <c r="AF349" s="549"/>
      <c r="AG349" s="549"/>
      <c r="AH349" s="549">
        <v>80</v>
      </c>
      <c r="AI349" s="549"/>
      <c r="AJ349" s="549"/>
      <c r="AK349" s="549">
        <v>100</v>
      </c>
      <c r="AL349" s="549"/>
      <c r="AM349" s="549"/>
      <c r="AN349" s="549">
        <v>150</v>
      </c>
      <c r="AO349" s="549"/>
      <c r="AP349" s="549"/>
      <c r="AQ349" s="549">
        <v>200</v>
      </c>
      <c r="AR349" s="549"/>
      <c r="AS349" s="549"/>
      <c r="AW349" s="25"/>
      <c r="AX349" s="25"/>
    </row>
    <row r="350" spans="1:50" s="19" customFormat="1" ht="30" customHeight="1" x14ac:dyDescent="0.25">
      <c r="A350" s="170"/>
      <c r="B350" s="170"/>
      <c r="C350" s="440" t="s">
        <v>155</v>
      </c>
      <c r="D350" s="440"/>
      <c r="E350" s="440"/>
      <c r="F350" s="440"/>
      <c r="G350" s="440"/>
      <c r="H350" s="440"/>
      <c r="I350" s="440"/>
      <c r="J350" s="440"/>
      <c r="K350" s="440"/>
      <c r="L350" s="440"/>
      <c r="M350" s="557" t="s">
        <v>101</v>
      </c>
      <c r="N350" s="557"/>
      <c r="O350" s="557"/>
      <c r="P350" s="580" t="s">
        <v>944</v>
      </c>
      <c r="Q350" s="581"/>
      <c r="R350" s="582"/>
      <c r="S350" s="580" t="s">
        <v>944</v>
      </c>
      <c r="T350" s="581"/>
      <c r="U350" s="582"/>
      <c r="V350" s="580" t="s">
        <v>944</v>
      </c>
      <c r="W350" s="581"/>
      <c r="X350" s="582"/>
      <c r="Y350" s="580" t="s">
        <v>944</v>
      </c>
      <c r="Z350" s="581"/>
      <c r="AA350" s="582"/>
      <c r="AB350" s="580" t="s">
        <v>944</v>
      </c>
      <c r="AC350" s="581"/>
      <c r="AD350" s="582"/>
      <c r="AE350" s="557" t="s">
        <v>101</v>
      </c>
      <c r="AF350" s="557"/>
      <c r="AG350" s="557"/>
      <c r="AH350" s="557" t="s">
        <v>101</v>
      </c>
      <c r="AI350" s="557"/>
      <c r="AJ350" s="557"/>
      <c r="AK350" s="557" t="s">
        <v>101</v>
      </c>
      <c r="AL350" s="557"/>
      <c r="AM350" s="557"/>
      <c r="AN350" s="557" t="s">
        <v>101</v>
      </c>
      <c r="AO350" s="557"/>
      <c r="AP350" s="557"/>
      <c r="AQ350" s="557" t="s">
        <v>101</v>
      </c>
      <c r="AR350" s="557"/>
      <c r="AS350" s="557"/>
      <c r="AW350" s="25"/>
      <c r="AX350" s="25"/>
    </row>
    <row r="351" spans="1:50" s="19" customFormat="1" ht="30" customHeight="1" x14ac:dyDescent="0.25">
      <c r="A351" s="170"/>
      <c r="B351" s="170"/>
      <c r="C351" s="440" t="s">
        <v>156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557" t="s">
        <v>101</v>
      </c>
      <c r="N351" s="557"/>
      <c r="O351" s="557"/>
      <c r="P351" s="580" t="s">
        <v>944</v>
      </c>
      <c r="Q351" s="581"/>
      <c r="R351" s="582"/>
      <c r="S351" s="580" t="s">
        <v>944</v>
      </c>
      <c r="T351" s="581"/>
      <c r="U351" s="582"/>
      <c r="V351" s="580" t="s">
        <v>944</v>
      </c>
      <c r="W351" s="581"/>
      <c r="X351" s="582"/>
      <c r="Y351" s="580" t="s">
        <v>944</v>
      </c>
      <c r="Z351" s="581"/>
      <c r="AA351" s="582"/>
      <c r="AB351" s="580" t="s">
        <v>944</v>
      </c>
      <c r="AC351" s="581"/>
      <c r="AD351" s="582"/>
      <c r="AE351" s="557" t="s">
        <v>101</v>
      </c>
      <c r="AF351" s="557"/>
      <c r="AG351" s="557"/>
      <c r="AH351" s="557" t="s">
        <v>101</v>
      </c>
      <c r="AI351" s="557"/>
      <c r="AJ351" s="557"/>
      <c r="AK351" s="557" t="s">
        <v>101</v>
      </c>
      <c r="AL351" s="557"/>
      <c r="AM351" s="557"/>
      <c r="AN351" s="557" t="s">
        <v>101</v>
      </c>
      <c r="AO351" s="557"/>
      <c r="AP351" s="557"/>
      <c r="AQ351" s="557" t="s">
        <v>101</v>
      </c>
      <c r="AR351" s="557"/>
      <c r="AS351" s="557"/>
      <c r="AW351" s="25"/>
      <c r="AX351" s="25"/>
    </row>
    <row r="352" spans="1:50" s="19" customFormat="1" ht="30" customHeight="1" x14ac:dyDescent="0.25">
      <c r="A352" s="170"/>
      <c r="B352" s="170"/>
      <c r="C352" s="440" t="s">
        <v>157</v>
      </c>
      <c r="D352" s="440"/>
      <c r="E352" s="440"/>
      <c r="F352" s="440"/>
      <c r="G352" s="440"/>
      <c r="H352" s="440"/>
      <c r="I352" s="440"/>
      <c r="J352" s="440"/>
      <c r="K352" s="440"/>
      <c r="L352" s="440"/>
      <c r="M352" s="580" t="s">
        <v>944</v>
      </c>
      <c r="N352" s="581"/>
      <c r="O352" s="582"/>
      <c r="P352" s="580" t="s">
        <v>944</v>
      </c>
      <c r="Q352" s="581"/>
      <c r="R352" s="582"/>
      <c r="S352" s="580" t="s">
        <v>944</v>
      </c>
      <c r="T352" s="581"/>
      <c r="U352" s="582"/>
      <c r="V352" s="580" t="s">
        <v>944</v>
      </c>
      <c r="W352" s="581"/>
      <c r="X352" s="582"/>
      <c r="Y352" s="580" t="s">
        <v>944</v>
      </c>
      <c r="Z352" s="581"/>
      <c r="AA352" s="582"/>
      <c r="AB352" s="580" t="s">
        <v>944</v>
      </c>
      <c r="AC352" s="581"/>
      <c r="AD352" s="582"/>
      <c r="AE352" s="580" t="s">
        <v>944</v>
      </c>
      <c r="AF352" s="581"/>
      <c r="AG352" s="582"/>
      <c r="AH352" s="580" t="s">
        <v>944</v>
      </c>
      <c r="AI352" s="581"/>
      <c r="AJ352" s="582"/>
      <c r="AK352" s="580" t="s">
        <v>944</v>
      </c>
      <c r="AL352" s="581"/>
      <c r="AM352" s="582"/>
      <c r="AN352" s="580" t="s">
        <v>944</v>
      </c>
      <c r="AO352" s="581"/>
      <c r="AP352" s="582"/>
      <c r="AQ352" s="580" t="s">
        <v>944</v>
      </c>
      <c r="AR352" s="581"/>
      <c r="AS352" s="582"/>
      <c r="AW352" s="25"/>
      <c r="AX352" s="25"/>
    </row>
    <row r="353" spans="1:50" s="19" customFormat="1" ht="30" customHeight="1" x14ac:dyDescent="0.25">
      <c r="A353" s="170"/>
      <c r="B353" s="170"/>
      <c r="C353" s="440" t="s">
        <v>158</v>
      </c>
      <c r="D353" s="440"/>
      <c r="E353" s="440"/>
      <c r="F353" s="440"/>
      <c r="G353" s="440"/>
      <c r="H353" s="440"/>
      <c r="I353" s="440"/>
      <c r="J353" s="440"/>
      <c r="K353" s="440"/>
      <c r="L353" s="440"/>
      <c r="M353" s="580" t="s">
        <v>944</v>
      </c>
      <c r="N353" s="581"/>
      <c r="O353" s="582"/>
      <c r="P353" s="580" t="s">
        <v>944</v>
      </c>
      <c r="Q353" s="581"/>
      <c r="R353" s="582"/>
      <c r="S353" s="580" t="s">
        <v>944</v>
      </c>
      <c r="T353" s="581"/>
      <c r="U353" s="582"/>
      <c r="V353" s="580" t="s">
        <v>944</v>
      </c>
      <c r="W353" s="581"/>
      <c r="X353" s="582"/>
      <c r="Y353" s="580" t="s">
        <v>944</v>
      </c>
      <c r="Z353" s="581"/>
      <c r="AA353" s="582"/>
      <c r="AB353" s="580" t="s">
        <v>944</v>
      </c>
      <c r="AC353" s="581"/>
      <c r="AD353" s="582"/>
      <c r="AE353" s="557" t="s">
        <v>101</v>
      </c>
      <c r="AF353" s="557"/>
      <c r="AG353" s="557"/>
      <c r="AH353" s="557" t="s">
        <v>101</v>
      </c>
      <c r="AI353" s="557"/>
      <c r="AJ353" s="557"/>
      <c r="AK353" s="557" t="s">
        <v>101</v>
      </c>
      <c r="AL353" s="557"/>
      <c r="AM353" s="557"/>
      <c r="AN353" s="557" t="s">
        <v>101</v>
      </c>
      <c r="AO353" s="557"/>
      <c r="AP353" s="557"/>
      <c r="AQ353" s="557" t="s">
        <v>101</v>
      </c>
      <c r="AR353" s="557"/>
      <c r="AS353" s="557"/>
      <c r="AW353" s="25"/>
      <c r="AX353" s="25"/>
    </row>
    <row r="354" spans="1:50" s="19" customFormat="1" ht="30" customHeight="1" x14ac:dyDescent="0.25">
      <c r="A354" s="170"/>
      <c r="B354" s="170"/>
      <c r="C354" s="440" t="s">
        <v>592</v>
      </c>
      <c r="D354" s="440"/>
      <c r="E354" s="440"/>
      <c r="F354" s="440"/>
      <c r="G354" s="440"/>
      <c r="H354" s="440"/>
      <c r="I354" s="440"/>
      <c r="J354" s="440"/>
      <c r="K354" s="440"/>
      <c r="L354" s="440"/>
      <c r="M354" s="557" t="s">
        <v>101</v>
      </c>
      <c r="N354" s="557"/>
      <c r="O354" s="557"/>
      <c r="P354" s="580" t="s">
        <v>944</v>
      </c>
      <c r="Q354" s="581"/>
      <c r="R354" s="582"/>
      <c r="S354" s="557" t="s">
        <v>101</v>
      </c>
      <c r="T354" s="557"/>
      <c r="U354" s="557"/>
      <c r="V354" s="580" t="s">
        <v>944</v>
      </c>
      <c r="W354" s="581"/>
      <c r="X354" s="582"/>
      <c r="Y354" s="557" t="s">
        <v>101</v>
      </c>
      <c r="Z354" s="557"/>
      <c r="AA354" s="557"/>
      <c r="AB354" s="557" t="s">
        <v>101</v>
      </c>
      <c r="AC354" s="557"/>
      <c r="AD354" s="557"/>
      <c r="AE354" s="557" t="s">
        <v>101</v>
      </c>
      <c r="AF354" s="557"/>
      <c r="AG354" s="557"/>
      <c r="AH354" s="557" t="s">
        <v>101</v>
      </c>
      <c r="AI354" s="557"/>
      <c r="AJ354" s="557"/>
      <c r="AK354" s="557" t="s">
        <v>101</v>
      </c>
      <c r="AL354" s="557"/>
      <c r="AM354" s="557"/>
      <c r="AN354" s="557" t="s">
        <v>101</v>
      </c>
      <c r="AO354" s="557"/>
      <c r="AP354" s="557"/>
      <c r="AQ354" s="557" t="s">
        <v>101</v>
      </c>
      <c r="AR354" s="557"/>
      <c r="AS354" s="557"/>
      <c r="AW354" s="25"/>
      <c r="AX354" s="25"/>
    </row>
    <row r="355" spans="1:50" s="19" customFormat="1" ht="30" customHeight="1" x14ac:dyDescent="0.25">
      <c r="A355" s="170"/>
      <c r="B355" s="170"/>
      <c r="C355" s="440" t="s">
        <v>159</v>
      </c>
      <c r="D355" s="440"/>
      <c r="E355" s="440"/>
      <c r="F355" s="440"/>
      <c r="G355" s="440"/>
      <c r="H355" s="440"/>
      <c r="I355" s="440"/>
      <c r="J355" s="440"/>
      <c r="K355" s="440"/>
      <c r="L355" s="440"/>
      <c r="M355" s="557" t="s">
        <v>101</v>
      </c>
      <c r="N355" s="557"/>
      <c r="O355" s="557"/>
      <c r="P355" s="580" t="s">
        <v>944</v>
      </c>
      <c r="Q355" s="581"/>
      <c r="R355" s="582"/>
      <c r="S355" s="557" t="s">
        <v>101</v>
      </c>
      <c r="T355" s="557"/>
      <c r="U355" s="557"/>
      <c r="V355" s="580" t="s">
        <v>944</v>
      </c>
      <c r="W355" s="581"/>
      <c r="X355" s="582"/>
      <c r="Y355" s="557" t="s">
        <v>101</v>
      </c>
      <c r="Z355" s="557"/>
      <c r="AA355" s="557"/>
      <c r="AB355" s="557" t="s">
        <v>101</v>
      </c>
      <c r="AC355" s="557"/>
      <c r="AD355" s="557"/>
      <c r="AE355" s="557" t="s">
        <v>101</v>
      </c>
      <c r="AF355" s="557"/>
      <c r="AG355" s="557"/>
      <c r="AH355" s="557" t="s">
        <v>101</v>
      </c>
      <c r="AI355" s="557"/>
      <c r="AJ355" s="557"/>
      <c r="AK355" s="557" t="s">
        <v>101</v>
      </c>
      <c r="AL355" s="557"/>
      <c r="AM355" s="557"/>
      <c r="AN355" s="557" t="s">
        <v>101</v>
      </c>
      <c r="AO355" s="557"/>
      <c r="AP355" s="557"/>
      <c r="AQ355" s="557" t="s">
        <v>101</v>
      </c>
      <c r="AR355" s="557"/>
      <c r="AS355" s="557"/>
      <c r="AW355" s="25"/>
      <c r="AX355" s="25"/>
    </row>
    <row r="356" spans="1:50" s="19" customFormat="1" ht="18" customHeight="1" x14ac:dyDescent="0.25">
      <c r="A356" s="170"/>
      <c r="B356" s="170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55"/>
      <c r="N356" s="55"/>
      <c r="O356" s="55"/>
      <c r="P356" s="83"/>
      <c r="Q356" s="55"/>
      <c r="R356" s="55"/>
      <c r="S356" s="55"/>
      <c r="T356" s="55"/>
      <c r="U356" s="55"/>
      <c r="V356" s="83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W356" s="25"/>
      <c r="AX356" s="25"/>
    </row>
    <row r="357" spans="1:50" s="202" customFormat="1" x14ac:dyDescent="0.25">
      <c r="A357" s="13"/>
      <c r="B357" s="13"/>
      <c r="C357" s="13" t="s">
        <v>952</v>
      </c>
      <c r="D357" s="250"/>
      <c r="E357" s="250"/>
      <c r="F357" s="250"/>
      <c r="G357" s="250"/>
      <c r="H357" s="250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  <c r="AA357" s="250"/>
      <c r="AB357" s="250"/>
      <c r="AC357" s="250"/>
      <c r="AD357" s="250"/>
      <c r="AE357" s="250"/>
      <c r="AF357" s="250"/>
      <c r="AG357" s="250"/>
      <c r="AH357" s="250"/>
      <c r="AI357" s="250"/>
      <c r="AJ357" s="250"/>
      <c r="AK357" s="250"/>
      <c r="AL357" s="250"/>
      <c r="AM357" s="250"/>
      <c r="AN357" s="250"/>
      <c r="AO357" s="250"/>
      <c r="AP357" s="250"/>
      <c r="AQ357" s="250"/>
      <c r="AR357" s="250"/>
      <c r="AS357" s="250"/>
    </row>
    <row r="358" spans="1:50" s="25" customFormat="1" ht="12.75" customHeight="1" x14ac:dyDescent="0.25">
      <c r="A358" s="272"/>
      <c r="B358" s="272"/>
      <c r="C358" s="278"/>
      <c r="D358" s="278"/>
      <c r="E358" s="278"/>
      <c r="F358" s="278"/>
      <c r="G358" s="278"/>
      <c r="H358" s="278"/>
      <c r="I358" s="278"/>
      <c r="J358" s="278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  <c r="U358" s="279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9"/>
      <c r="AO358" s="278"/>
      <c r="AP358" s="278"/>
      <c r="AQ358" s="278"/>
      <c r="AR358" s="278"/>
      <c r="AS358" s="278"/>
    </row>
    <row r="359" spans="1:50" s="19" customFormat="1" x14ac:dyDescent="0.25">
      <c r="A359" s="170"/>
      <c r="B359" s="170"/>
      <c r="C359" s="583" t="s">
        <v>953</v>
      </c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  <c r="AM359" s="583"/>
      <c r="AN359" s="583"/>
      <c r="AO359" s="583"/>
      <c r="AP359" s="583"/>
      <c r="AQ359" s="583"/>
      <c r="AR359" s="583"/>
      <c r="AS359" s="583"/>
      <c r="AW359" s="25"/>
      <c r="AX359" s="25"/>
    </row>
    <row r="360" spans="1:50" s="19" customFormat="1" ht="29.25" customHeight="1" x14ac:dyDescent="0.25">
      <c r="A360" s="170"/>
      <c r="B360" s="170"/>
      <c r="C360" s="337" t="s">
        <v>946</v>
      </c>
      <c r="D360" s="337"/>
      <c r="E360" s="337"/>
      <c r="F360" s="337"/>
      <c r="G360" s="337"/>
      <c r="H360" s="383" t="s">
        <v>947</v>
      </c>
      <c r="I360" s="383"/>
      <c r="J360" s="383"/>
      <c r="K360" s="383"/>
      <c r="L360" s="383"/>
      <c r="M360" s="383"/>
      <c r="N360" s="383"/>
      <c r="O360" s="383"/>
      <c r="P360" s="337" t="s">
        <v>948</v>
      </c>
      <c r="Q360" s="337"/>
      <c r="R360" s="337"/>
      <c r="S360" s="337"/>
      <c r="T360" s="337"/>
      <c r="U360" s="337"/>
      <c r="V360" s="337"/>
      <c r="W360" s="337"/>
      <c r="X360" s="337"/>
      <c r="Y360" s="337"/>
      <c r="Z360" s="337"/>
      <c r="AA360" s="337"/>
      <c r="AB360" s="337"/>
      <c r="AC360" s="337"/>
      <c r="AD360" s="337"/>
      <c r="AE360" s="337" t="s">
        <v>949</v>
      </c>
      <c r="AF360" s="337"/>
      <c r="AG360" s="337"/>
      <c r="AH360" s="337"/>
      <c r="AI360" s="337"/>
      <c r="AJ360" s="337"/>
      <c r="AK360" s="337"/>
      <c r="AL360" s="337"/>
      <c r="AM360" s="337"/>
      <c r="AN360" s="337"/>
      <c r="AO360" s="337"/>
      <c r="AP360" s="337"/>
      <c r="AQ360" s="337"/>
      <c r="AR360" s="337"/>
      <c r="AS360" s="337"/>
      <c r="AW360" s="25"/>
      <c r="AX360" s="25"/>
    </row>
    <row r="361" spans="1:50" s="19" customFormat="1" ht="15" customHeight="1" x14ac:dyDescent="0.25">
      <c r="A361" s="170"/>
      <c r="B361" s="170"/>
      <c r="C361" s="584">
        <v>15</v>
      </c>
      <c r="D361" s="584"/>
      <c r="E361" s="584"/>
      <c r="F361" s="584"/>
      <c r="G361" s="584"/>
      <c r="H361" s="364" t="s">
        <v>950</v>
      </c>
      <c r="I361" s="364"/>
      <c r="J361" s="364"/>
      <c r="K361" s="364"/>
      <c r="L361" s="364"/>
      <c r="M361" s="364"/>
      <c r="N361" s="364"/>
      <c r="O361" s="364"/>
      <c r="P361" s="336">
        <f>VLOOKUP("УТ-00096764",'Выгрузка из 1С'!$B$4:$K$1987,10,FALSE)</f>
        <v>22680</v>
      </c>
      <c r="Q361" s="336"/>
      <c r="R361" s="336"/>
      <c r="S361" s="336"/>
      <c r="T361" s="336"/>
      <c r="U361" s="336"/>
      <c r="V361" s="336"/>
      <c r="W361" s="336"/>
      <c r="X361" s="336"/>
      <c r="Y361" s="336"/>
      <c r="Z361" s="336"/>
      <c r="AA361" s="336"/>
      <c r="AB361" s="336"/>
      <c r="AC361" s="336"/>
      <c r="AD361" s="336"/>
      <c r="AE361" s="338" t="s">
        <v>954</v>
      </c>
      <c r="AF361" s="339"/>
      <c r="AG361" s="339"/>
      <c r="AH361" s="339"/>
      <c r="AI361" s="339"/>
      <c r="AJ361" s="339"/>
      <c r="AK361" s="339"/>
      <c r="AL361" s="339"/>
      <c r="AM361" s="339"/>
      <c r="AN361" s="339"/>
      <c r="AO361" s="339"/>
      <c r="AP361" s="339"/>
      <c r="AQ361" s="339"/>
      <c r="AR361" s="339"/>
      <c r="AS361" s="340"/>
      <c r="AW361" s="25"/>
      <c r="AX361" s="25"/>
    </row>
    <row r="362" spans="1:50" s="19" customFormat="1" ht="15" customHeight="1" x14ac:dyDescent="0.25">
      <c r="A362" s="170"/>
      <c r="B362" s="170"/>
      <c r="C362" s="584">
        <v>20</v>
      </c>
      <c r="D362" s="584"/>
      <c r="E362" s="584"/>
      <c r="F362" s="584"/>
      <c r="G362" s="584"/>
      <c r="H362" s="364" t="s">
        <v>255</v>
      </c>
      <c r="I362" s="364"/>
      <c r="J362" s="364"/>
      <c r="K362" s="364"/>
      <c r="L362" s="364"/>
      <c r="M362" s="364"/>
      <c r="N362" s="364"/>
      <c r="O362" s="364"/>
      <c r="P362" s="336">
        <f>VLOOKUP("УТ-00099458",'Выгрузка из 1С'!$B$4:$K$1987,10,FALSE)</f>
        <v>23400</v>
      </c>
      <c r="Q362" s="336"/>
      <c r="R362" s="336"/>
      <c r="S362" s="336"/>
      <c r="T362" s="336"/>
      <c r="U362" s="336"/>
      <c r="V362" s="336"/>
      <c r="W362" s="336"/>
      <c r="X362" s="336"/>
      <c r="Y362" s="336"/>
      <c r="Z362" s="336"/>
      <c r="AA362" s="336"/>
      <c r="AB362" s="336"/>
      <c r="AC362" s="336"/>
      <c r="AD362" s="336"/>
      <c r="AE362" s="338" t="s">
        <v>954</v>
      </c>
      <c r="AF362" s="339"/>
      <c r="AG362" s="339"/>
      <c r="AH362" s="339"/>
      <c r="AI362" s="339"/>
      <c r="AJ362" s="339"/>
      <c r="AK362" s="339"/>
      <c r="AL362" s="339"/>
      <c r="AM362" s="339"/>
      <c r="AN362" s="339"/>
      <c r="AO362" s="339"/>
      <c r="AP362" s="339"/>
      <c r="AQ362" s="339"/>
      <c r="AR362" s="339"/>
      <c r="AS362" s="340"/>
      <c r="AW362" s="25"/>
      <c r="AX362" s="25"/>
    </row>
    <row r="363" spans="1:50" s="19" customFormat="1" ht="15" customHeight="1" x14ac:dyDescent="0.25">
      <c r="A363" s="170"/>
      <c r="B363" s="170"/>
      <c r="C363" s="584">
        <v>25</v>
      </c>
      <c r="D363" s="584"/>
      <c r="E363" s="584"/>
      <c r="F363" s="584"/>
      <c r="G363" s="584"/>
      <c r="H363" s="364" t="s">
        <v>256</v>
      </c>
      <c r="I363" s="364"/>
      <c r="J363" s="364"/>
      <c r="K363" s="364"/>
      <c r="L363" s="364"/>
      <c r="M363" s="364"/>
      <c r="N363" s="364"/>
      <c r="O363" s="364"/>
      <c r="P363" s="336">
        <f>VLOOKUP("УТ-00096792",'Выгрузка из 1С'!$B$4:$K$1987,10,FALSE)</f>
        <v>25320</v>
      </c>
      <c r="Q363" s="336"/>
      <c r="R363" s="336"/>
      <c r="S363" s="336"/>
      <c r="T363" s="336"/>
      <c r="U363" s="336"/>
      <c r="V363" s="336"/>
      <c r="W363" s="336"/>
      <c r="X363" s="336"/>
      <c r="Y363" s="336"/>
      <c r="Z363" s="336"/>
      <c r="AA363" s="336"/>
      <c r="AB363" s="336"/>
      <c r="AC363" s="336"/>
      <c r="AD363" s="336"/>
      <c r="AE363" s="338" t="s">
        <v>954</v>
      </c>
      <c r="AF363" s="339"/>
      <c r="AG363" s="339"/>
      <c r="AH363" s="339"/>
      <c r="AI363" s="339"/>
      <c r="AJ363" s="339"/>
      <c r="AK363" s="339"/>
      <c r="AL363" s="339"/>
      <c r="AM363" s="339"/>
      <c r="AN363" s="339"/>
      <c r="AO363" s="339"/>
      <c r="AP363" s="339"/>
      <c r="AQ363" s="339"/>
      <c r="AR363" s="339"/>
      <c r="AS363" s="340"/>
      <c r="AW363" s="25"/>
      <c r="AX363" s="25"/>
    </row>
    <row r="364" spans="1:50" s="19" customFormat="1" ht="15" customHeight="1" x14ac:dyDescent="0.25">
      <c r="A364" s="170"/>
      <c r="B364" s="170"/>
      <c r="C364" s="584">
        <v>32</v>
      </c>
      <c r="D364" s="584"/>
      <c r="E364" s="584"/>
      <c r="F364" s="584"/>
      <c r="G364" s="584"/>
      <c r="H364" s="364" t="s">
        <v>257</v>
      </c>
      <c r="I364" s="364"/>
      <c r="J364" s="364"/>
      <c r="K364" s="364"/>
      <c r="L364" s="364"/>
      <c r="M364" s="364"/>
      <c r="N364" s="364"/>
      <c r="O364" s="364"/>
      <c r="P364" s="336">
        <f>VLOOKUP("УТ-00096765",'Выгрузка из 1С'!$B$4:$K$1987,10,FALSE)</f>
        <v>27120</v>
      </c>
      <c r="Q364" s="336"/>
      <c r="R364" s="336"/>
      <c r="S364" s="336"/>
      <c r="T364" s="336"/>
      <c r="U364" s="336"/>
      <c r="V364" s="336"/>
      <c r="W364" s="336"/>
      <c r="X364" s="336"/>
      <c r="Y364" s="336"/>
      <c r="Z364" s="336"/>
      <c r="AA364" s="336"/>
      <c r="AB364" s="336"/>
      <c r="AC364" s="336"/>
      <c r="AD364" s="336"/>
      <c r="AE364" s="336">
        <f>VLOOKUP("УТ-00114497",'Выгрузка из 1С'!$B$4:$K$1976,10,FALSE)</f>
        <v>23640</v>
      </c>
      <c r="AF364" s="336"/>
      <c r="AG364" s="336"/>
      <c r="AH364" s="336"/>
      <c r="AI364" s="336"/>
      <c r="AJ364" s="336"/>
      <c r="AK364" s="336"/>
      <c r="AL364" s="336"/>
      <c r="AM364" s="336"/>
      <c r="AN364" s="336"/>
      <c r="AO364" s="336"/>
      <c r="AP364" s="336"/>
      <c r="AQ364" s="336"/>
      <c r="AR364" s="336"/>
      <c r="AS364" s="336"/>
      <c r="AW364" s="25"/>
      <c r="AX364" s="25"/>
    </row>
    <row r="365" spans="1:50" s="19" customFormat="1" ht="15" customHeight="1" x14ac:dyDescent="0.25">
      <c r="A365" s="170"/>
      <c r="B365" s="170"/>
      <c r="C365" s="584">
        <v>40</v>
      </c>
      <c r="D365" s="584"/>
      <c r="E365" s="584"/>
      <c r="F365" s="584"/>
      <c r="G365" s="584"/>
      <c r="H365" s="364" t="s">
        <v>258</v>
      </c>
      <c r="I365" s="364"/>
      <c r="J365" s="364"/>
      <c r="K365" s="364"/>
      <c r="L365" s="364"/>
      <c r="M365" s="364"/>
      <c r="N365" s="364"/>
      <c r="O365" s="364"/>
      <c r="P365" s="336">
        <f>VLOOKUP("УТ-00096766",'Выгрузка из 1С'!$B$4:$K$1987,10,FALSE)</f>
        <v>29700</v>
      </c>
      <c r="Q365" s="336"/>
      <c r="R365" s="336"/>
      <c r="S365" s="336"/>
      <c r="T365" s="336"/>
      <c r="U365" s="336"/>
      <c r="V365" s="336"/>
      <c r="W365" s="336"/>
      <c r="X365" s="336"/>
      <c r="Y365" s="336"/>
      <c r="Z365" s="336"/>
      <c r="AA365" s="336"/>
      <c r="AB365" s="336"/>
      <c r="AC365" s="336"/>
      <c r="AD365" s="336"/>
      <c r="AE365" s="338" t="s">
        <v>954</v>
      </c>
      <c r="AF365" s="339"/>
      <c r="AG365" s="339"/>
      <c r="AH365" s="339"/>
      <c r="AI365" s="339"/>
      <c r="AJ365" s="339"/>
      <c r="AK365" s="339"/>
      <c r="AL365" s="339"/>
      <c r="AM365" s="339"/>
      <c r="AN365" s="339"/>
      <c r="AO365" s="339"/>
      <c r="AP365" s="339"/>
      <c r="AQ365" s="339"/>
      <c r="AR365" s="339"/>
      <c r="AS365" s="340"/>
      <c r="AW365" s="25"/>
      <c r="AX365" s="25"/>
    </row>
    <row r="366" spans="1:50" s="19" customFormat="1" ht="15" customHeight="1" x14ac:dyDescent="0.25">
      <c r="A366" s="170"/>
      <c r="B366" s="170"/>
      <c r="C366" s="584">
        <v>50</v>
      </c>
      <c r="D366" s="584"/>
      <c r="E366" s="584"/>
      <c r="F366" s="584"/>
      <c r="G366" s="584"/>
      <c r="H366" s="364" t="s">
        <v>259</v>
      </c>
      <c r="I366" s="364"/>
      <c r="J366" s="364"/>
      <c r="K366" s="364"/>
      <c r="L366" s="364"/>
      <c r="M366" s="364"/>
      <c r="N366" s="364"/>
      <c r="O366" s="364"/>
      <c r="P366" s="336">
        <f>VLOOKUP("УТ-00096767",'Выгрузка из 1С'!$B$4:$K$1987,10,FALSE)</f>
        <v>31680</v>
      </c>
      <c r="Q366" s="336"/>
      <c r="R366" s="336"/>
      <c r="S366" s="336"/>
      <c r="T366" s="336"/>
      <c r="U366" s="336"/>
      <c r="V366" s="336"/>
      <c r="W366" s="336"/>
      <c r="X366" s="336"/>
      <c r="Y366" s="336"/>
      <c r="Z366" s="336"/>
      <c r="AA366" s="336"/>
      <c r="AB366" s="336"/>
      <c r="AC366" s="336"/>
      <c r="AD366" s="336"/>
      <c r="AE366" s="336">
        <f>VLOOKUP("УТ-00114498",'Выгрузка из 1С'!$B$4:$K$1976,10,FALSE)</f>
        <v>27480</v>
      </c>
      <c r="AF366" s="336"/>
      <c r="AG366" s="336"/>
      <c r="AH366" s="336"/>
      <c r="AI366" s="336"/>
      <c r="AJ366" s="336"/>
      <c r="AK366" s="336"/>
      <c r="AL366" s="336"/>
      <c r="AM366" s="336"/>
      <c r="AN366" s="336"/>
      <c r="AO366" s="336"/>
      <c r="AP366" s="336"/>
      <c r="AQ366" s="336"/>
      <c r="AR366" s="336"/>
      <c r="AS366" s="336"/>
      <c r="AW366" s="25"/>
      <c r="AX366" s="25"/>
    </row>
    <row r="367" spans="1:50" s="19" customFormat="1" ht="15" customHeight="1" x14ac:dyDescent="0.25">
      <c r="A367" s="170"/>
      <c r="B367" s="170"/>
      <c r="C367" s="584">
        <v>65</v>
      </c>
      <c r="D367" s="584"/>
      <c r="E367" s="584"/>
      <c r="F367" s="584"/>
      <c r="G367" s="584"/>
      <c r="H367" s="364" t="s">
        <v>951</v>
      </c>
      <c r="I367" s="364"/>
      <c r="J367" s="364"/>
      <c r="K367" s="364"/>
      <c r="L367" s="364"/>
      <c r="M367" s="364"/>
      <c r="N367" s="364"/>
      <c r="O367" s="364"/>
      <c r="P367" s="336">
        <f>VLOOKUP("УТ-00099459",'Выгрузка из 1С'!$B$4:$K$1987,10,FALSE)</f>
        <v>37620</v>
      </c>
      <c r="Q367" s="336"/>
      <c r="R367" s="336"/>
      <c r="S367" s="336"/>
      <c r="T367" s="336"/>
      <c r="U367" s="336"/>
      <c r="V367" s="336"/>
      <c r="W367" s="336"/>
      <c r="X367" s="336"/>
      <c r="Y367" s="336"/>
      <c r="Z367" s="336"/>
      <c r="AA367" s="336"/>
      <c r="AB367" s="336"/>
      <c r="AC367" s="336"/>
      <c r="AD367" s="336"/>
      <c r="AE367" s="338" t="s">
        <v>954</v>
      </c>
      <c r="AF367" s="339"/>
      <c r="AG367" s="339"/>
      <c r="AH367" s="339"/>
      <c r="AI367" s="339"/>
      <c r="AJ367" s="339"/>
      <c r="AK367" s="339"/>
      <c r="AL367" s="339"/>
      <c r="AM367" s="339"/>
      <c r="AN367" s="339"/>
      <c r="AO367" s="339"/>
      <c r="AP367" s="339"/>
      <c r="AQ367" s="339"/>
      <c r="AR367" s="339"/>
      <c r="AS367" s="340"/>
      <c r="AW367" s="25"/>
      <c r="AX367" s="25"/>
    </row>
    <row r="368" spans="1:50" s="19" customFormat="1" ht="15" customHeight="1" x14ac:dyDescent="0.25">
      <c r="A368" s="170"/>
      <c r="B368" s="170"/>
      <c r="C368" s="584">
        <v>80</v>
      </c>
      <c r="D368" s="584"/>
      <c r="E368" s="584"/>
      <c r="F368" s="584"/>
      <c r="G368" s="584"/>
      <c r="H368" s="364" t="s">
        <v>261</v>
      </c>
      <c r="I368" s="364"/>
      <c r="J368" s="364"/>
      <c r="K368" s="364"/>
      <c r="L368" s="364"/>
      <c r="M368" s="364"/>
      <c r="N368" s="364"/>
      <c r="O368" s="364"/>
      <c r="P368" s="336">
        <f>VLOOKUP("УТ-00096768",'Выгрузка из 1С'!$B$4:$K$1987,10,FALSE)</f>
        <v>42900</v>
      </c>
      <c r="Q368" s="336"/>
      <c r="R368" s="336"/>
      <c r="S368" s="336"/>
      <c r="T368" s="336"/>
      <c r="U368" s="336"/>
      <c r="V368" s="336"/>
      <c r="W368" s="336"/>
      <c r="X368" s="336"/>
      <c r="Y368" s="336"/>
      <c r="Z368" s="336"/>
      <c r="AA368" s="336"/>
      <c r="AB368" s="336"/>
      <c r="AC368" s="336"/>
      <c r="AD368" s="336"/>
      <c r="AE368" s="338" t="s">
        <v>954</v>
      </c>
      <c r="AF368" s="339"/>
      <c r="AG368" s="339"/>
      <c r="AH368" s="339"/>
      <c r="AI368" s="339"/>
      <c r="AJ368" s="339"/>
      <c r="AK368" s="339"/>
      <c r="AL368" s="339"/>
      <c r="AM368" s="339"/>
      <c r="AN368" s="339"/>
      <c r="AO368" s="339"/>
      <c r="AP368" s="339"/>
      <c r="AQ368" s="339"/>
      <c r="AR368" s="339"/>
      <c r="AS368" s="340"/>
      <c r="AW368" s="25"/>
      <c r="AX368" s="25"/>
    </row>
    <row r="369" spans="1:50" s="19" customFormat="1" ht="15" customHeight="1" x14ac:dyDescent="0.25">
      <c r="A369" s="170"/>
      <c r="B369" s="170"/>
      <c r="C369" s="584">
        <v>100</v>
      </c>
      <c r="D369" s="584"/>
      <c r="E369" s="584"/>
      <c r="F369" s="584"/>
      <c r="G369" s="584"/>
      <c r="H369" s="364" t="s">
        <v>262</v>
      </c>
      <c r="I369" s="364"/>
      <c r="J369" s="364"/>
      <c r="K369" s="364"/>
      <c r="L369" s="364"/>
      <c r="M369" s="364"/>
      <c r="N369" s="364"/>
      <c r="O369" s="364"/>
      <c r="P369" s="336">
        <f>VLOOKUP("УТ-00096793",'Выгрузка из 1С'!$B$4:$K$1987,10,FALSE)</f>
        <v>46200</v>
      </c>
      <c r="Q369" s="336"/>
      <c r="R369" s="336"/>
      <c r="S369" s="336"/>
      <c r="T369" s="336"/>
      <c r="U369" s="336"/>
      <c r="V369" s="336"/>
      <c r="W369" s="336"/>
      <c r="X369" s="336"/>
      <c r="Y369" s="336"/>
      <c r="Z369" s="336"/>
      <c r="AA369" s="336"/>
      <c r="AB369" s="336"/>
      <c r="AC369" s="336"/>
      <c r="AD369" s="336"/>
      <c r="AE369" s="338" t="s">
        <v>954</v>
      </c>
      <c r="AF369" s="339"/>
      <c r="AG369" s="339"/>
      <c r="AH369" s="339"/>
      <c r="AI369" s="339"/>
      <c r="AJ369" s="339"/>
      <c r="AK369" s="339"/>
      <c r="AL369" s="339"/>
      <c r="AM369" s="339"/>
      <c r="AN369" s="339"/>
      <c r="AO369" s="339"/>
      <c r="AP369" s="339"/>
      <c r="AQ369" s="339"/>
      <c r="AR369" s="339"/>
      <c r="AS369" s="340"/>
      <c r="AW369" s="25"/>
      <c r="AX369" s="25"/>
    </row>
    <row r="370" spans="1:50" s="19" customFormat="1" ht="15" customHeight="1" x14ac:dyDescent="0.25">
      <c r="A370" s="170"/>
      <c r="B370" s="170"/>
      <c r="C370" s="584">
        <v>150</v>
      </c>
      <c r="D370" s="584"/>
      <c r="E370" s="584"/>
      <c r="F370" s="584"/>
      <c r="G370" s="584"/>
      <c r="H370" s="364" t="s">
        <v>263</v>
      </c>
      <c r="I370" s="364"/>
      <c r="J370" s="364"/>
      <c r="K370" s="364"/>
      <c r="L370" s="364"/>
      <c r="M370" s="364"/>
      <c r="N370" s="364"/>
      <c r="O370" s="364"/>
      <c r="P370" s="336">
        <f>VLOOKUP("УТ-00096769",'Выгрузка из 1С'!$B$4:$K$1987,10,FALSE)</f>
        <v>81840</v>
      </c>
      <c r="Q370" s="336"/>
      <c r="R370" s="336"/>
      <c r="S370" s="336"/>
      <c r="T370" s="336"/>
      <c r="U370" s="336"/>
      <c r="V370" s="336"/>
      <c r="W370" s="336"/>
      <c r="X370" s="336"/>
      <c r="Y370" s="336"/>
      <c r="Z370" s="336"/>
      <c r="AA370" s="336"/>
      <c r="AB370" s="336"/>
      <c r="AC370" s="336"/>
      <c r="AD370" s="336"/>
      <c r="AE370" s="338" t="s">
        <v>954</v>
      </c>
      <c r="AF370" s="339"/>
      <c r="AG370" s="339"/>
      <c r="AH370" s="339"/>
      <c r="AI370" s="339"/>
      <c r="AJ370" s="339"/>
      <c r="AK370" s="339"/>
      <c r="AL370" s="339"/>
      <c r="AM370" s="339"/>
      <c r="AN370" s="339"/>
      <c r="AO370" s="339"/>
      <c r="AP370" s="339"/>
      <c r="AQ370" s="339"/>
      <c r="AR370" s="339"/>
      <c r="AS370" s="340"/>
      <c r="AW370" s="25"/>
      <c r="AX370" s="25"/>
    </row>
    <row r="371" spans="1:50" s="19" customFormat="1" ht="15" customHeight="1" x14ac:dyDescent="0.25">
      <c r="A371" s="170"/>
      <c r="B371" s="170"/>
      <c r="C371" s="584">
        <v>200</v>
      </c>
      <c r="D371" s="584"/>
      <c r="E371" s="584"/>
      <c r="F371" s="584"/>
      <c r="G371" s="584"/>
      <c r="H371" s="364" t="s">
        <v>264</v>
      </c>
      <c r="I371" s="364"/>
      <c r="J371" s="364"/>
      <c r="K371" s="364"/>
      <c r="L371" s="364"/>
      <c r="M371" s="364"/>
      <c r="N371" s="364"/>
      <c r="O371" s="364"/>
      <c r="P371" s="336">
        <f>VLOOKUP("УТ-00096770",'Выгрузка из 1С'!$B$4:$K$1987,10,FALSE)</f>
        <v>118800</v>
      </c>
      <c r="Q371" s="336"/>
      <c r="R371" s="336"/>
      <c r="S371" s="336"/>
      <c r="T371" s="336"/>
      <c r="U371" s="336"/>
      <c r="V371" s="336"/>
      <c r="W371" s="336"/>
      <c r="X371" s="336"/>
      <c r="Y371" s="336"/>
      <c r="Z371" s="336"/>
      <c r="AA371" s="336"/>
      <c r="AB371" s="336"/>
      <c r="AC371" s="336"/>
      <c r="AD371" s="336"/>
      <c r="AE371" s="338" t="s">
        <v>954</v>
      </c>
      <c r="AF371" s="339"/>
      <c r="AG371" s="339"/>
      <c r="AH371" s="339"/>
      <c r="AI371" s="339"/>
      <c r="AJ371" s="339"/>
      <c r="AK371" s="339"/>
      <c r="AL371" s="339"/>
      <c r="AM371" s="339"/>
      <c r="AN371" s="339"/>
      <c r="AO371" s="339"/>
      <c r="AP371" s="339"/>
      <c r="AQ371" s="339"/>
      <c r="AR371" s="339"/>
      <c r="AS371" s="340"/>
      <c r="AW371" s="25"/>
      <c r="AX371" s="25"/>
    </row>
    <row r="372" spans="1:50" s="19" customFormat="1" x14ac:dyDescent="0.25">
      <c r="A372" s="170"/>
      <c r="B372" s="170"/>
      <c r="C372" s="364">
        <v>300</v>
      </c>
      <c r="D372" s="364"/>
      <c r="E372" s="364"/>
      <c r="F372" s="364"/>
      <c r="G372" s="364"/>
      <c r="H372" s="364" t="s">
        <v>265</v>
      </c>
      <c r="I372" s="364"/>
      <c r="J372" s="364"/>
      <c r="K372" s="364"/>
      <c r="L372" s="364"/>
      <c r="M372" s="364"/>
      <c r="N372" s="364"/>
      <c r="O372" s="364"/>
      <c r="P372" s="336">
        <f>VLOOKUP("УТ-00099460",'Выгрузка из 1С'!$B$4:$K$1987,10,FALSE)</f>
        <v>261360</v>
      </c>
      <c r="Q372" s="336"/>
      <c r="R372" s="336"/>
      <c r="S372" s="336"/>
      <c r="T372" s="336"/>
      <c r="U372" s="336"/>
      <c r="V372" s="336"/>
      <c r="W372" s="336"/>
      <c r="X372" s="336"/>
      <c r="Y372" s="336"/>
      <c r="Z372" s="336"/>
      <c r="AA372" s="336"/>
      <c r="AB372" s="336"/>
      <c r="AC372" s="336"/>
      <c r="AD372" s="336"/>
      <c r="AE372" s="338" t="s">
        <v>954</v>
      </c>
      <c r="AF372" s="339"/>
      <c r="AG372" s="339"/>
      <c r="AH372" s="339"/>
      <c r="AI372" s="339"/>
      <c r="AJ372" s="339"/>
      <c r="AK372" s="339"/>
      <c r="AL372" s="339"/>
      <c r="AM372" s="339"/>
      <c r="AN372" s="339"/>
      <c r="AO372" s="339"/>
      <c r="AP372" s="339"/>
      <c r="AQ372" s="339"/>
      <c r="AR372" s="339"/>
      <c r="AS372" s="340"/>
      <c r="AW372" s="25"/>
      <c r="AX372" s="25"/>
    </row>
    <row r="373" spans="1:50" s="19" customFormat="1" ht="15" customHeight="1" x14ac:dyDescent="0.25">
      <c r="A373" s="170"/>
      <c r="B373" s="170"/>
      <c r="C373" s="585"/>
      <c r="D373" s="586"/>
      <c r="E373" s="586"/>
      <c r="F373" s="586"/>
      <c r="G373" s="587"/>
      <c r="H373" s="365"/>
      <c r="I373" s="366"/>
      <c r="J373" s="366"/>
      <c r="K373" s="366"/>
      <c r="L373" s="366"/>
      <c r="M373" s="366"/>
      <c r="N373" s="366"/>
      <c r="O373" s="367"/>
      <c r="P373" s="589"/>
      <c r="Q373" s="590"/>
      <c r="R373" s="590"/>
      <c r="S373" s="590"/>
      <c r="T373" s="590"/>
      <c r="U373" s="590"/>
      <c r="V373" s="590"/>
      <c r="W373" s="590"/>
      <c r="X373" s="590"/>
      <c r="Y373" s="591"/>
      <c r="Z373" s="589"/>
      <c r="AA373" s="590"/>
      <c r="AB373" s="590"/>
      <c r="AC373" s="590"/>
      <c r="AD373" s="590"/>
      <c r="AE373" s="590"/>
      <c r="AF373" s="590"/>
      <c r="AG373" s="590"/>
      <c r="AH373" s="590"/>
      <c r="AI373" s="591"/>
      <c r="AJ373" s="589"/>
      <c r="AK373" s="590"/>
      <c r="AL373" s="590"/>
      <c r="AM373" s="590"/>
      <c r="AN373" s="590"/>
      <c r="AO373" s="590"/>
      <c r="AP373" s="590"/>
      <c r="AQ373" s="590"/>
      <c r="AR373" s="590"/>
      <c r="AS373" s="591"/>
      <c r="AW373" s="25"/>
      <c r="AX373" s="25"/>
    </row>
    <row r="374" spans="1:50" s="25" customFormat="1" x14ac:dyDescent="0.25">
      <c r="A374" s="7"/>
      <c r="B374" s="7"/>
      <c r="C374" s="588" t="s">
        <v>223</v>
      </c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8"/>
      <c r="AD374" s="588"/>
      <c r="AE374" s="588"/>
      <c r="AF374" s="588"/>
      <c r="AG374" s="588"/>
      <c r="AH374" s="588"/>
      <c r="AI374" s="588"/>
      <c r="AJ374" s="588"/>
      <c r="AK374" s="588"/>
      <c r="AL374" s="588"/>
      <c r="AM374" s="588"/>
      <c r="AN374" s="588"/>
      <c r="AO374" s="588"/>
      <c r="AP374" s="588"/>
      <c r="AQ374" s="588"/>
      <c r="AR374" s="588"/>
      <c r="AS374" s="588"/>
    </row>
    <row r="375" spans="1:50" s="25" customFormat="1" x14ac:dyDescent="0.25">
      <c r="A375" s="272"/>
      <c r="B375" s="272"/>
      <c r="C375" s="341" t="s">
        <v>955</v>
      </c>
      <c r="D375" s="341"/>
      <c r="E375" s="341"/>
      <c r="F375" s="341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  <c r="AA375" s="341"/>
      <c r="AB375" s="341"/>
      <c r="AC375" s="341"/>
      <c r="AD375" s="341"/>
      <c r="AE375" s="341"/>
      <c r="AF375" s="341"/>
      <c r="AG375" s="341"/>
      <c r="AH375" s="341"/>
      <c r="AI375" s="341"/>
      <c r="AJ375" s="341"/>
      <c r="AK375" s="341"/>
      <c r="AL375" s="341"/>
      <c r="AM375" s="341"/>
      <c r="AN375" s="345" t="s">
        <v>881</v>
      </c>
      <c r="AO375" s="346"/>
      <c r="AP375" s="346"/>
      <c r="AQ375" s="346"/>
      <c r="AR375" s="346"/>
      <c r="AS375" s="346"/>
    </row>
    <row r="376" spans="1:50" s="25" customFormat="1" x14ac:dyDescent="0.25">
      <c r="A376" s="272"/>
      <c r="B376" s="272"/>
      <c r="C376" s="341" t="s">
        <v>956</v>
      </c>
      <c r="D376" s="341"/>
      <c r="E376" s="341"/>
      <c r="F376" s="341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  <c r="AA376" s="341"/>
      <c r="AB376" s="341"/>
      <c r="AC376" s="341"/>
      <c r="AD376" s="341"/>
      <c r="AE376" s="341"/>
      <c r="AF376" s="341"/>
      <c r="AG376" s="341"/>
      <c r="AH376" s="341"/>
      <c r="AI376" s="341"/>
      <c r="AJ376" s="341"/>
      <c r="AK376" s="341"/>
      <c r="AL376" s="341"/>
      <c r="AM376" s="341"/>
      <c r="AN376" s="345" t="s">
        <v>881</v>
      </c>
      <c r="AO376" s="346"/>
      <c r="AP376" s="346"/>
      <c r="AQ376" s="346"/>
      <c r="AR376" s="346"/>
      <c r="AS376" s="346"/>
    </row>
    <row r="377" spans="1:50" s="25" customFormat="1" x14ac:dyDescent="0.25">
      <c r="A377" s="272"/>
      <c r="B377" s="272"/>
      <c r="C377" s="341" t="s">
        <v>940</v>
      </c>
      <c r="D377" s="341"/>
      <c r="E377" s="341"/>
      <c r="F377" s="341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  <c r="AA377" s="341"/>
      <c r="AB377" s="341"/>
      <c r="AC377" s="341"/>
      <c r="AD377" s="341"/>
      <c r="AE377" s="341"/>
      <c r="AF377" s="341"/>
      <c r="AG377" s="341"/>
      <c r="AH377" s="341"/>
      <c r="AI377" s="341"/>
      <c r="AJ377" s="341"/>
      <c r="AK377" s="341"/>
      <c r="AL377" s="341"/>
      <c r="AM377" s="341"/>
      <c r="AN377" s="345" t="s">
        <v>881</v>
      </c>
      <c r="AO377" s="346"/>
      <c r="AP377" s="346"/>
      <c r="AQ377" s="346"/>
      <c r="AR377" s="346"/>
      <c r="AS377" s="346"/>
    </row>
    <row r="378" spans="1:50" s="19" customFormat="1" x14ac:dyDescent="0.25">
      <c r="A378" s="170"/>
      <c r="B378" s="170"/>
      <c r="C378" s="341" t="s">
        <v>959</v>
      </c>
      <c r="D378" s="341"/>
      <c r="E378" s="341"/>
      <c r="F378" s="341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  <c r="AA378" s="341"/>
      <c r="AB378" s="341"/>
      <c r="AC378" s="341"/>
      <c r="AD378" s="341"/>
      <c r="AE378" s="341"/>
      <c r="AF378" s="341"/>
      <c r="AG378" s="341"/>
      <c r="AH378" s="341"/>
      <c r="AI378" s="341"/>
      <c r="AJ378" s="341"/>
      <c r="AK378" s="341"/>
      <c r="AL378" s="341"/>
      <c r="AM378" s="341"/>
      <c r="AN378" s="345" t="s">
        <v>881</v>
      </c>
      <c r="AO378" s="346"/>
      <c r="AP378" s="346"/>
      <c r="AQ378" s="346"/>
      <c r="AR378" s="346"/>
      <c r="AS378" s="346"/>
      <c r="AW378" s="25"/>
      <c r="AX378" s="25"/>
    </row>
    <row r="379" spans="1:50" s="19" customFormat="1" ht="16.5" customHeight="1" x14ac:dyDescent="0.25">
      <c r="A379" s="170"/>
      <c r="B379" s="170"/>
      <c r="C379" s="341" t="s">
        <v>958</v>
      </c>
      <c r="D379" s="341"/>
      <c r="E379" s="341"/>
      <c r="F379" s="341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  <c r="AA379" s="341"/>
      <c r="AB379" s="341"/>
      <c r="AC379" s="341"/>
      <c r="AD379" s="341"/>
      <c r="AE379" s="341"/>
      <c r="AF379" s="341"/>
      <c r="AG379" s="341"/>
      <c r="AH379" s="341"/>
      <c r="AI379" s="341"/>
      <c r="AJ379" s="341"/>
      <c r="AK379" s="341"/>
      <c r="AL379" s="341"/>
      <c r="AM379" s="341"/>
      <c r="AN379" s="345" t="s">
        <v>881</v>
      </c>
      <c r="AO379" s="346"/>
      <c r="AP379" s="346"/>
      <c r="AQ379" s="346"/>
      <c r="AR379" s="346"/>
      <c r="AS379" s="346"/>
      <c r="AW379" s="25"/>
      <c r="AX379" s="25"/>
    </row>
    <row r="380" spans="1:50" s="19" customFormat="1" x14ac:dyDescent="0.25">
      <c r="A380" s="170"/>
      <c r="B380" s="170"/>
      <c r="C380" s="596" t="s">
        <v>957</v>
      </c>
      <c r="D380" s="596"/>
      <c r="E380" s="596"/>
      <c r="F380" s="596"/>
      <c r="G380" s="596"/>
      <c r="H380" s="596"/>
      <c r="I380" s="596"/>
      <c r="J380" s="596"/>
      <c r="K380" s="596"/>
      <c r="L380" s="596"/>
      <c r="M380" s="596"/>
      <c r="N380" s="596"/>
      <c r="O380" s="596"/>
      <c r="P380" s="596"/>
      <c r="Q380" s="596"/>
      <c r="R380" s="596"/>
      <c r="S380" s="596"/>
      <c r="T380" s="596"/>
      <c r="U380" s="596"/>
      <c r="V380" s="596"/>
      <c r="W380" s="596"/>
      <c r="X380" s="596"/>
      <c r="Y380" s="596"/>
      <c r="Z380" s="596"/>
      <c r="AA380" s="596"/>
      <c r="AB380" s="596"/>
      <c r="AC380" s="596"/>
      <c r="AD380" s="596"/>
      <c r="AE380" s="596"/>
      <c r="AF380" s="596"/>
      <c r="AG380" s="596"/>
      <c r="AH380" s="596"/>
      <c r="AI380" s="596"/>
      <c r="AJ380" s="596"/>
      <c r="AK380" s="596"/>
      <c r="AL380" s="596"/>
      <c r="AM380" s="596"/>
      <c r="AN380" s="345" t="s">
        <v>881</v>
      </c>
      <c r="AO380" s="346"/>
      <c r="AP380" s="346"/>
      <c r="AQ380" s="346"/>
      <c r="AR380" s="346"/>
      <c r="AS380" s="346"/>
      <c r="AW380" s="25"/>
      <c r="AX380" s="25"/>
    </row>
    <row r="381" spans="1:50" s="19" customFormat="1" x14ac:dyDescent="0.25">
      <c r="A381" s="170"/>
      <c r="B381" s="17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W381" s="25"/>
      <c r="AX381" s="25"/>
    </row>
    <row r="382" spans="1:50" s="19" customFormat="1" ht="14.25" customHeight="1" x14ac:dyDescent="0.25">
      <c r="A382" s="170"/>
      <c r="B382" s="170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9"/>
      <c r="N382" s="39"/>
      <c r="O382" s="39"/>
      <c r="P382" s="40"/>
      <c r="Q382" s="39"/>
      <c r="R382" s="39"/>
      <c r="S382" s="39"/>
      <c r="T382" s="39"/>
      <c r="U382" s="39"/>
      <c r="V382" s="40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W382" s="25"/>
      <c r="AX382" s="25"/>
    </row>
    <row r="383" spans="1:50" s="202" customFormat="1" ht="15.75" x14ac:dyDescent="0.25">
      <c r="A383" s="13"/>
      <c r="B383" s="13"/>
      <c r="C383" s="49" t="s">
        <v>72</v>
      </c>
      <c r="D383" s="250"/>
      <c r="E383" s="250"/>
      <c r="F383" s="250"/>
      <c r="G383" s="250"/>
      <c r="H383" s="250"/>
      <c r="I383" s="250"/>
      <c r="J383" s="250"/>
      <c r="K383" s="250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  <c r="AA383" s="250"/>
      <c r="AB383" s="250"/>
      <c r="AC383" s="250"/>
      <c r="AD383" s="250"/>
      <c r="AE383" s="250"/>
      <c r="AF383" s="250"/>
      <c r="AG383" s="250"/>
      <c r="AH383" s="250"/>
      <c r="AI383" s="250"/>
      <c r="AJ383" s="250"/>
      <c r="AK383" s="250"/>
      <c r="AL383" s="250"/>
      <c r="AM383" s="250"/>
      <c r="AN383" s="250"/>
      <c r="AO383" s="250"/>
      <c r="AP383" s="250"/>
      <c r="AQ383" s="250"/>
      <c r="AR383" s="250"/>
      <c r="AS383" s="250"/>
    </row>
    <row r="384" spans="1:50" s="19" customFormat="1" x14ac:dyDescent="0.25">
      <c r="A384" s="170"/>
      <c r="B384" s="170"/>
      <c r="C384" s="234" t="s">
        <v>160</v>
      </c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6"/>
      <c r="AW384" s="25"/>
      <c r="AX384" s="25"/>
    </row>
    <row r="385" spans="1:50" s="19" customFormat="1" x14ac:dyDescent="0.25">
      <c r="A385" s="170"/>
      <c r="B385" s="170"/>
      <c r="C385" s="454" t="s">
        <v>80</v>
      </c>
      <c r="D385" s="454"/>
      <c r="E385" s="454"/>
      <c r="F385" s="454"/>
      <c r="G385" s="454"/>
      <c r="H385" s="454"/>
      <c r="I385" s="454"/>
      <c r="J385" s="342" t="s">
        <v>960</v>
      </c>
      <c r="K385" s="343"/>
      <c r="L385" s="343"/>
      <c r="M385" s="344"/>
      <c r="N385" s="342" t="s">
        <v>164</v>
      </c>
      <c r="O385" s="343"/>
      <c r="P385" s="343"/>
      <c r="Q385" s="344"/>
      <c r="R385" s="342" t="s">
        <v>165</v>
      </c>
      <c r="S385" s="343"/>
      <c r="T385" s="343"/>
      <c r="U385" s="344"/>
      <c r="V385" s="342" t="s">
        <v>166</v>
      </c>
      <c r="W385" s="343"/>
      <c r="X385" s="343"/>
      <c r="Y385" s="344"/>
      <c r="Z385" s="342" t="s">
        <v>964</v>
      </c>
      <c r="AA385" s="343"/>
      <c r="AB385" s="343"/>
      <c r="AC385" s="344"/>
      <c r="AD385" s="342" t="s">
        <v>965</v>
      </c>
      <c r="AE385" s="343"/>
      <c r="AF385" s="343"/>
      <c r="AG385" s="344"/>
      <c r="AH385" s="342" t="s">
        <v>966</v>
      </c>
      <c r="AI385" s="343"/>
      <c r="AJ385" s="343"/>
      <c r="AK385" s="344"/>
      <c r="AL385" s="342" t="s">
        <v>967</v>
      </c>
      <c r="AM385" s="343"/>
      <c r="AN385" s="343"/>
      <c r="AO385" s="344"/>
      <c r="AP385" s="342" t="s">
        <v>968</v>
      </c>
      <c r="AQ385" s="343"/>
      <c r="AR385" s="343"/>
      <c r="AS385" s="344"/>
      <c r="AW385" s="25"/>
      <c r="AX385" s="25"/>
    </row>
    <row r="386" spans="1:50" s="19" customFormat="1" ht="20.25" customHeight="1" x14ac:dyDescent="0.25">
      <c r="A386" s="273"/>
      <c r="B386" s="170"/>
      <c r="C386" s="454" t="s">
        <v>962</v>
      </c>
      <c r="D386" s="454"/>
      <c r="E386" s="454"/>
      <c r="F386" s="454"/>
      <c r="G386" s="454"/>
      <c r="H386" s="454"/>
      <c r="I386" s="454"/>
      <c r="J386" s="600" t="s">
        <v>961</v>
      </c>
      <c r="K386" s="601"/>
      <c r="L386" s="601"/>
      <c r="M386" s="602"/>
      <c r="N386" s="347">
        <f>VLOOKUP("УТ-00117157",'Выгрузка из 1С'!$B$4:$K$1987,10,FALSE)</f>
        <v>32400</v>
      </c>
      <c r="O386" s="348"/>
      <c r="P386" s="348"/>
      <c r="Q386" s="349"/>
      <c r="R386" s="347">
        <f>VLOOKUP("УТ-00117159",'Выгрузка из 1С'!$B$4:$K$1987,10,FALSE)</f>
        <v>33600</v>
      </c>
      <c r="S386" s="348"/>
      <c r="T386" s="348"/>
      <c r="U386" s="349"/>
      <c r="V386" s="347">
        <f>VLOOKUP("УТ-00117161",'Выгрузка из 1С'!$B$4:$K$1987,10,FALSE)</f>
        <v>34800</v>
      </c>
      <c r="W386" s="348"/>
      <c r="X386" s="348"/>
      <c r="Y386" s="349"/>
      <c r="Z386" s="347">
        <f>VLOOKUP("УТ-00117162",'Выгрузка из 1С'!$B$4:$K$1987,10,FALSE)</f>
        <v>40800</v>
      </c>
      <c r="AA386" s="348"/>
      <c r="AB386" s="348"/>
      <c r="AC386" s="349"/>
      <c r="AD386" s="347">
        <f>VLOOKUP("УТ-00117164",'Выгрузка из 1С'!$B$4:$K$1987,10,FALSE)</f>
        <v>48600</v>
      </c>
      <c r="AE386" s="348"/>
      <c r="AF386" s="348"/>
      <c r="AG386" s="349"/>
      <c r="AH386" s="347">
        <f>VLOOKUP("УТ-00117165",'Выгрузка из 1С'!$B$4:$K$1987,10,FALSE)</f>
        <v>54600</v>
      </c>
      <c r="AI386" s="348"/>
      <c r="AJ386" s="348"/>
      <c r="AK386" s="349"/>
      <c r="AL386" s="347">
        <f>VLOOKUP("УТ-00117167",'Выгрузка из 1С'!$B$4:$K$1987,10,FALSE)</f>
        <v>61200</v>
      </c>
      <c r="AM386" s="348"/>
      <c r="AN386" s="348"/>
      <c r="AO386" s="349"/>
      <c r="AP386" s="347">
        <f>VLOOKUP("УТ-00117169",'Выгрузка из 1С'!$B$4:$K$1987,10,FALSE)</f>
        <v>84000</v>
      </c>
      <c r="AQ386" s="348"/>
      <c r="AR386" s="348"/>
      <c r="AS386" s="349"/>
      <c r="AW386" s="25"/>
      <c r="AX386" s="25"/>
    </row>
    <row r="387" spans="1:50" s="19" customFormat="1" ht="18.75" customHeight="1" x14ac:dyDescent="0.25">
      <c r="A387" s="273"/>
      <c r="B387" s="170"/>
      <c r="C387" s="454" t="s">
        <v>963</v>
      </c>
      <c r="D387" s="454"/>
      <c r="E387" s="454"/>
      <c r="F387" s="454"/>
      <c r="G387" s="454"/>
      <c r="H387" s="454"/>
      <c r="I387" s="454"/>
      <c r="J387" s="603">
        <v>7.6388888888888895E-2</v>
      </c>
      <c r="K387" s="604"/>
      <c r="L387" s="604"/>
      <c r="M387" s="605"/>
      <c r="N387" s="347">
        <f>VLOOKUP("УТ-00117158",'Выгрузка из 1С'!$B$4:$K$1987,10,FALSE)</f>
        <v>31200</v>
      </c>
      <c r="O387" s="348"/>
      <c r="P387" s="348"/>
      <c r="Q387" s="349"/>
      <c r="R387" s="347">
        <f>VLOOKUP("УТ-00117160",'Выгрузка из 1С'!$B$4:$K$1987,10,FALSE)</f>
        <v>31800</v>
      </c>
      <c r="S387" s="348"/>
      <c r="T387" s="348"/>
      <c r="U387" s="349"/>
      <c r="V387" s="347">
        <f>VLOOKUP("УТ-00117147",'Выгрузка из 1С'!$B$4:$K$1987,10,FALSE)</f>
        <v>34200</v>
      </c>
      <c r="W387" s="348"/>
      <c r="X387" s="348"/>
      <c r="Y387" s="349"/>
      <c r="Z387" s="347">
        <f>VLOOKUP("УТ-00117163",'Выгрузка из 1С'!$B$4:$K$1987,10,FALSE)</f>
        <v>39600</v>
      </c>
      <c r="AA387" s="348"/>
      <c r="AB387" s="348"/>
      <c r="AC387" s="349"/>
      <c r="AD387" s="347">
        <f>VLOOKUP("УТ-00117148",'Выгрузка из 1С'!$B$4:$K$1987,10,FALSE)</f>
        <v>46800</v>
      </c>
      <c r="AE387" s="348"/>
      <c r="AF387" s="348"/>
      <c r="AG387" s="349"/>
      <c r="AH387" s="347">
        <f>VLOOKUP("УТ-00117166",'Выгрузка из 1С'!$B$4:$K$1987,10,FALSE)</f>
        <v>51600</v>
      </c>
      <c r="AI387" s="348"/>
      <c r="AJ387" s="348"/>
      <c r="AK387" s="349"/>
      <c r="AL387" s="347">
        <f>VLOOKUP("УТ-00117168",'Выгрузка из 1С'!$B$4:$K$1987,10,FALSE)</f>
        <v>58800</v>
      </c>
      <c r="AM387" s="348"/>
      <c r="AN387" s="348"/>
      <c r="AO387" s="349"/>
      <c r="AP387" s="347">
        <f>VLOOKUP("УТ-00117170",'Выгрузка из 1С'!$B$4:$K$1987,10,FALSE)</f>
        <v>78000</v>
      </c>
      <c r="AQ387" s="348"/>
      <c r="AR387" s="348"/>
      <c r="AS387" s="349"/>
      <c r="AW387" s="25"/>
      <c r="AX387" s="25"/>
    </row>
    <row r="388" spans="1:50" s="19" customFormat="1" x14ac:dyDescent="0.25">
      <c r="A388" s="170"/>
      <c r="B388" s="17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W388" s="25"/>
      <c r="AX388" s="25"/>
    </row>
    <row r="389" spans="1:50" s="202" customFormat="1" x14ac:dyDescent="0.25">
      <c r="A389" s="17"/>
      <c r="B389" s="17"/>
      <c r="C389" s="229" t="s">
        <v>73</v>
      </c>
      <c r="D389" s="232"/>
      <c r="E389" s="232"/>
      <c r="F389" s="232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3"/>
    </row>
    <row r="390" spans="1:50" s="19" customFormat="1" x14ac:dyDescent="0.25">
      <c r="A390" s="170"/>
      <c r="B390" s="170"/>
      <c r="C390" s="454" t="s">
        <v>80</v>
      </c>
      <c r="D390" s="454"/>
      <c r="E390" s="454"/>
      <c r="F390" s="454"/>
      <c r="G390" s="454"/>
      <c r="H390" s="454"/>
      <c r="I390" s="454"/>
      <c r="J390" s="454" t="s">
        <v>161</v>
      </c>
      <c r="K390" s="454"/>
      <c r="L390" s="454"/>
      <c r="M390" s="454"/>
      <c r="N390" s="454"/>
      <c r="O390" s="454"/>
      <c r="P390" s="454"/>
      <c r="Q390" s="454"/>
      <c r="R390" s="454"/>
      <c r="S390" s="454"/>
      <c r="T390" s="454"/>
      <c r="U390" s="454"/>
      <c r="V390" s="454"/>
      <c r="W390" s="454"/>
      <c r="X390" s="454"/>
      <c r="Y390" s="454"/>
      <c r="Z390" s="454"/>
      <c r="AA390" s="454"/>
      <c r="AB390" s="597" t="s">
        <v>164</v>
      </c>
      <c r="AC390" s="598"/>
      <c r="AD390" s="598"/>
      <c r="AE390" s="598"/>
      <c r="AF390" s="598"/>
      <c r="AG390" s="599"/>
      <c r="AH390" s="597" t="s">
        <v>971</v>
      </c>
      <c r="AI390" s="598"/>
      <c r="AJ390" s="598"/>
      <c r="AK390" s="598"/>
      <c r="AL390" s="598"/>
      <c r="AM390" s="599"/>
      <c r="AN390" s="597" t="s">
        <v>166</v>
      </c>
      <c r="AO390" s="598"/>
      <c r="AP390" s="598"/>
      <c r="AQ390" s="598"/>
      <c r="AR390" s="598"/>
      <c r="AS390" s="599"/>
      <c r="AW390" s="25"/>
      <c r="AX390" s="25"/>
    </row>
    <row r="391" spans="1:50" s="19" customFormat="1" ht="27" customHeight="1" x14ac:dyDescent="0.25">
      <c r="A391" s="274"/>
      <c r="B391" s="170"/>
      <c r="C391" s="545" t="s">
        <v>969</v>
      </c>
      <c r="D391" s="545"/>
      <c r="E391" s="545"/>
      <c r="F391" s="545"/>
      <c r="G391" s="545"/>
      <c r="H391" s="545"/>
      <c r="I391" s="545"/>
      <c r="J391" s="534" t="s">
        <v>162</v>
      </c>
      <c r="K391" s="534"/>
      <c r="L391" s="534"/>
      <c r="M391" s="534"/>
      <c r="N391" s="534"/>
      <c r="O391" s="534"/>
      <c r="P391" s="534"/>
      <c r="Q391" s="534"/>
      <c r="R391" s="534"/>
      <c r="S391" s="534"/>
      <c r="T391" s="534"/>
      <c r="U391" s="534"/>
      <c r="V391" s="534"/>
      <c r="W391" s="534"/>
      <c r="X391" s="534"/>
      <c r="Y391" s="534"/>
      <c r="Z391" s="534"/>
      <c r="AA391" s="534"/>
      <c r="AB391" s="592" t="s">
        <v>881</v>
      </c>
      <c r="AC391" s="593"/>
      <c r="AD391" s="593"/>
      <c r="AE391" s="593"/>
      <c r="AF391" s="593"/>
      <c r="AG391" s="594"/>
      <c r="AH391" s="592" t="s">
        <v>881</v>
      </c>
      <c r="AI391" s="593"/>
      <c r="AJ391" s="593"/>
      <c r="AK391" s="593"/>
      <c r="AL391" s="593"/>
      <c r="AM391" s="594"/>
      <c r="AN391" s="592" t="s">
        <v>881</v>
      </c>
      <c r="AO391" s="593"/>
      <c r="AP391" s="593"/>
      <c r="AQ391" s="593"/>
      <c r="AR391" s="593"/>
      <c r="AS391" s="594"/>
      <c r="AW391" s="25"/>
      <c r="AX391" s="25"/>
    </row>
    <row r="392" spans="1:50" s="19" customFormat="1" ht="27" customHeight="1" x14ac:dyDescent="0.25">
      <c r="A392" s="274"/>
      <c r="B392" s="170"/>
      <c r="C392" s="545" t="s">
        <v>970</v>
      </c>
      <c r="D392" s="545"/>
      <c r="E392" s="545"/>
      <c r="F392" s="545"/>
      <c r="G392" s="545"/>
      <c r="H392" s="545"/>
      <c r="I392" s="545"/>
      <c r="J392" s="534" t="s">
        <v>163</v>
      </c>
      <c r="K392" s="534"/>
      <c r="L392" s="534"/>
      <c r="M392" s="534"/>
      <c r="N392" s="534"/>
      <c r="O392" s="534"/>
      <c r="P392" s="534"/>
      <c r="Q392" s="534"/>
      <c r="R392" s="534"/>
      <c r="S392" s="534"/>
      <c r="T392" s="534"/>
      <c r="U392" s="534"/>
      <c r="V392" s="534"/>
      <c r="W392" s="534"/>
      <c r="X392" s="534"/>
      <c r="Y392" s="534"/>
      <c r="Z392" s="534"/>
      <c r="AA392" s="534"/>
      <c r="AB392" s="592" t="s">
        <v>881</v>
      </c>
      <c r="AC392" s="593"/>
      <c r="AD392" s="593"/>
      <c r="AE392" s="593"/>
      <c r="AF392" s="593"/>
      <c r="AG392" s="594"/>
      <c r="AH392" s="592" t="s">
        <v>881</v>
      </c>
      <c r="AI392" s="593"/>
      <c r="AJ392" s="593"/>
      <c r="AK392" s="593"/>
      <c r="AL392" s="593"/>
      <c r="AM392" s="594"/>
      <c r="AN392" s="592" t="s">
        <v>881</v>
      </c>
      <c r="AO392" s="593"/>
      <c r="AP392" s="593"/>
      <c r="AQ392" s="593"/>
      <c r="AR392" s="593"/>
      <c r="AS392" s="594"/>
      <c r="AW392" s="25"/>
      <c r="AX392" s="25"/>
    </row>
    <row r="393" spans="1:50" s="19" customFormat="1" x14ac:dyDescent="0.25">
      <c r="A393" s="170"/>
      <c r="B393" s="17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W393" s="25"/>
      <c r="AX393" s="25"/>
    </row>
    <row r="394" spans="1:50" s="202" customFormat="1" ht="13.5" customHeight="1" x14ac:dyDescent="0.25">
      <c r="A394" s="17"/>
      <c r="B394" s="17"/>
      <c r="C394" s="595" t="s">
        <v>972</v>
      </c>
      <c r="D394" s="595"/>
      <c r="E394" s="595"/>
      <c r="F394" s="595"/>
      <c r="G394" s="595"/>
      <c r="H394" s="595"/>
      <c r="I394" s="595"/>
      <c r="J394" s="595"/>
      <c r="K394" s="595"/>
      <c r="L394" s="595"/>
      <c r="M394" s="595"/>
      <c r="N394" s="595"/>
      <c r="O394" s="595"/>
      <c r="P394" s="595"/>
      <c r="Q394" s="595"/>
      <c r="R394" s="595"/>
      <c r="S394" s="595"/>
      <c r="T394" s="595"/>
      <c r="U394" s="595"/>
      <c r="V394" s="595"/>
      <c r="W394" s="595"/>
      <c r="X394" s="595"/>
      <c r="Y394" s="595"/>
      <c r="Z394" s="595"/>
      <c r="AA394" s="595"/>
      <c r="AB394" s="595"/>
      <c r="AC394" s="595"/>
      <c r="AD394" s="595"/>
      <c r="AE394" s="595"/>
      <c r="AF394" s="595"/>
      <c r="AG394" s="595"/>
      <c r="AH394" s="595"/>
      <c r="AI394" s="595"/>
      <c r="AJ394" s="595"/>
      <c r="AK394" s="595"/>
      <c r="AL394" s="595"/>
      <c r="AM394" s="595"/>
      <c r="AN394" s="595"/>
      <c r="AO394" s="595"/>
      <c r="AP394" s="595"/>
      <c r="AQ394" s="595"/>
      <c r="AR394" s="595"/>
      <c r="AS394" s="595"/>
    </row>
    <row r="395" spans="1:50" s="25" customFormat="1" ht="12" customHeight="1" x14ac:dyDescent="0.25">
      <c r="A395" s="7"/>
      <c r="B395" s="7"/>
      <c r="C395" s="696" t="s">
        <v>106</v>
      </c>
      <c r="D395" s="696"/>
      <c r="E395" s="696"/>
      <c r="F395" s="696"/>
      <c r="G395" s="696"/>
      <c r="H395" s="696"/>
      <c r="I395" s="696"/>
      <c r="J395" s="696"/>
      <c r="K395" s="696"/>
      <c r="L395" s="696"/>
      <c r="M395" s="697" t="s">
        <v>907</v>
      </c>
      <c r="N395" s="697"/>
      <c r="O395" s="697"/>
      <c r="P395" s="697"/>
      <c r="Q395" s="697"/>
      <c r="R395" s="697"/>
      <c r="S395" s="697"/>
      <c r="T395" s="697"/>
      <c r="U395" s="697"/>
      <c r="V395" s="697"/>
      <c r="W395" s="697"/>
      <c r="X395" s="696" t="s">
        <v>106</v>
      </c>
      <c r="Y395" s="696"/>
      <c r="Z395" s="696"/>
      <c r="AA395" s="696"/>
      <c r="AB395" s="696"/>
      <c r="AC395" s="696"/>
      <c r="AD395" s="696"/>
      <c r="AE395" s="696"/>
      <c r="AF395" s="696"/>
      <c r="AG395" s="696"/>
      <c r="AH395" s="697" t="s">
        <v>907</v>
      </c>
      <c r="AI395" s="697"/>
      <c r="AJ395" s="697"/>
      <c r="AK395" s="697"/>
      <c r="AL395" s="697"/>
      <c r="AM395" s="697"/>
      <c r="AN395" s="697"/>
      <c r="AO395" s="697"/>
      <c r="AP395" s="697"/>
      <c r="AQ395" s="697"/>
      <c r="AR395" s="697"/>
      <c r="AS395" s="697"/>
    </row>
    <row r="396" spans="1:50" s="19" customFormat="1" ht="12" customHeight="1" x14ac:dyDescent="0.25">
      <c r="A396" s="274"/>
      <c r="B396" s="170"/>
      <c r="C396" s="682">
        <v>25</v>
      </c>
      <c r="D396" s="682"/>
      <c r="E396" s="682"/>
      <c r="F396" s="682"/>
      <c r="G396" s="682"/>
      <c r="H396" s="682"/>
      <c r="I396" s="682"/>
      <c r="J396" s="682"/>
      <c r="K396" s="682"/>
      <c r="L396" s="682"/>
      <c r="M396" s="698" t="s">
        <v>881</v>
      </c>
      <c r="N396" s="697"/>
      <c r="O396" s="697"/>
      <c r="P396" s="697"/>
      <c r="Q396" s="697"/>
      <c r="R396" s="697"/>
      <c r="S396" s="697"/>
      <c r="T396" s="697"/>
      <c r="U396" s="697"/>
      <c r="V396" s="697"/>
      <c r="W396" s="697"/>
      <c r="X396" s="682">
        <v>65</v>
      </c>
      <c r="Y396" s="682"/>
      <c r="Z396" s="682"/>
      <c r="AA396" s="682"/>
      <c r="AB396" s="682"/>
      <c r="AC396" s="682"/>
      <c r="AD396" s="682"/>
      <c r="AE396" s="682"/>
      <c r="AF396" s="682"/>
      <c r="AG396" s="682"/>
      <c r="AH396" s="698" t="s">
        <v>881</v>
      </c>
      <c r="AI396" s="697"/>
      <c r="AJ396" s="697"/>
      <c r="AK396" s="697"/>
      <c r="AL396" s="697"/>
      <c r="AM396" s="697"/>
      <c r="AN396" s="697"/>
      <c r="AO396" s="697"/>
      <c r="AP396" s="697"/>
      <c r="AQ396" s="697"/>
      <c r="AR396" s="697"/>
      <c r="AS396" s="697"/>
      <c r="AW396" s="25"/>
      <c r="AX396" s="25"/>
    </row>
    <row r="397" spans="1:50" s="19" customFormat="1" ht="12" customHeight="1" x14ac:dyDescent="0.25">
      <c r="A397" s="274"/>
      <c r="B397" s="170"/>
      <c r="C397" s="682">
        <v>32</v>
      </c>
      <c r="D397" s="682"/>
      <c r="E397" s="682"/>
      <c r="F397" s="682"/>
      <c r="G397" s="682"/>
      <c r="H397" s="682"/>
      <c r="I397" s="682"/>
      <c r="J397" s="682"/>
      <c r="K397" s="682"/>
      <c r="L397" s="682"/>
      <c r="M397" s="698" t="s">
        <v>881</v>
      </c>
      <c r="N397" s="697"/>
      <c r="O397" s="697"/>
      <c r="P397" s="697"/>
      <c r="Q397" s="697"/>
      <c r="R397" s="697"/>
      <c r="S397" s="697"/>
      <c r="T397" s="697"/>
      <c r="U397" s="697"/>
      <c r="V397" s="697"/>
      <c r="W397" s="697"/>
      <c r="X397" s="682">
        <v>80</v>
      </c>
      <c r="Y397" s="682"/>
      <c r="Z397" s="682"/>
      <c r="AA397" s="682"/>
      <c r="AB397" s="682"/>
      <c r="AC397" s="682"/>
      <c r="AD397" s="682"/>
      <c r="AE397" s="682"/>
      <c r="AF397" s="682"/>
      <c r="AG397" s="682"/>
      <c r="AH397" s="698" t="s">
        <v>881</v>
      </c>
      <c r="AI397" s="697"/>
      <c r="AJ397" s="697"/>
      <c r="AK397" s="697"/>
      <c r="AL397" s="697"/>
      <c r="AM397" s="697"/>
      <c r="AN397" s="697"/>
      <c r="AO397" s="697"/>
      <c r="AP397" s="697"/>
      <c r="AQ397" s="697"/>
      <c r="AR397" s="697"/>
      <c r="AS397" s="697"/>
      <c r="AW397" s="25"/>
      <c r="AX397" s="25"/>
    </row>
    <row r="398" spans="1:50" s="19" customFormat="1" ht="12" customHeight="1" x14ac:dyDescent="0.25">
      <c r="A398" s="274"/>
      <c r="B398" s="170"/>
      <c r="C398" s="682">
        <v>40</v>
      </c>
      <c r="D398" s="682"/>
      <c r="E398" s="682"/>
      <c r="F398" s="682"/>
      <c r="G398" s="682"/>
      <c r="H398" s="682"/>
      <c r="I398" s="682"/>
      <c r="J398" s="682"/>
      <c r="K398" s="682"/>
      <c r="L398" s="682"/>
      <c r="M398" s="698" t="s">
        <v>881</v>
      </c>
      <c r="N398" s="697"/>
      <c r="O398" s="697"/>
      <c r="P398" s="697"/>
      <c r="Q398" s="697"/>
      <c r="R398" s="697"/>
      <c r="S398" s="697"/>
      <c r="T398" s="697"/>
      <c r="U398" s="697"/>
      <c r="V398" s="697"/>
      <c r="W398" s="697"/>
      <c r="X398" s="682">
        <v>100</v>
      </c>
      <c r="Y398" s="682"/>
      <c r="Z398" s="682"/>
      <c r="AA398" s="682"/>
      <c r="AB398" s="682"/>
      <c r="AC398" s="682"/>
      <c r="AD398" s="682"/>
      <c r="AE398" s="682"/>
      <c r="AF398" s="682"/>
      <c r="AG398" s="682"/>
      <c r="AH398" s="698" t="s">
        <v>881</v>
      </c>
      <c r="AI398" s="697"/>
      <c r="AJ398" s="697"/>
      <c r="AK398" s="697"/>
      <c r="AL398" s="697"/>
      <c r="AM398" s="697"/>
      <c r="AN398" s="697"/>
      <c r="AO398" s="697"/>
      <c r="AP398" s="697"/>
      <c r="AQ398" s="697"/>
      <c r="AR398" s="697"/>
      <c r="AS398" s="697"/>
      <c r="AW398" s="25"/>
      <c r="AX398" s="25"/>
    </row>
    <row r="399" spans="1:50" s="19" customFormat="1" ht="12" customHeight="1" x14ac:dyDescent="0.25">
      <c r="A399" s="274"/>
      <c r="B399" s="170"/>
      <c r="C399" s="682">
        <v>50</v>
      </c>
      <c r="D399" s="682"/>
      <c r="E399" s="682"/>
      <c r="F399" s="682"/>
      <c r="G399" s="682"/>
      <c r="H399" s="682"/>
      <c r="I399" s="682"/>
      <c r="J399" s="682"/>
      <c r="K399" s="682"/>
      <c r="L399" s="682"/>
      <c r="M399" s="698" t="s">
        <v>881</v>
      </c>
      <c r="N399" s="697"/>
      <c r="O399" s="697"/>
      <c r="P399" s="697"/>
      <c r="Q399" s="697"/>
      <c r="R399" s="697"/>
      <c r="S399" s="697"/>
      <c r="T399" s="697"/>
      <c r="U399" s="697"/>
      <c r="V399" s="697"/>
      <c r="W399" s="697"/>
      <c r="X399" s="682">
        <v>150</v>
      </c>
      <c r="Y399" s="682"/>
      <c r="Z399" s="682"/>
      <c r="AA399" s="682"/>
      <c r="AB399" s="682"/>
      <c r="AC399" s="682"/>
      <c r="AD399" s="682"/>
      <c r="AE399" s="682"/>
      <c r="AF399" s="682"/>
      <c r="AG399" s="682"/>
      <c r="AH399" s="698" t="s">
        <v>881</v>
      </c>
      <c r="AI399" s="697"/>
      <c r="AJ399" s="697"/>
      <c r="AK399" s="697"/>
      <c r="AL399" s="697"/>
      <c r="AM399" s="697"/>
      <c r="AN399" s="697"/>
      <c r="AO399" s="697"/>
      <c r="AP399" s="697"/>
      <c r="AQ399" s="697"/>
      <c r="AR399" s="697"/>
      <c r="AS399" s="697"/>
      <c r="AW399" s="25"/>
      <c r="AX399" s="25"/>
    </row>
    <row r="400" spans="1:50" s="19" customFormat="1" ht="12" customHeight="1" x14ac:dyDescent="0.25">
      <c r="A400" s="170"/>
      <c r="B400" s="170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40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40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W400" s="25"/>
      <c r="AX400" s="25"/>
    </row>
    <row r="401" spans="1:50" s="19" customFormat="1" ht="13.5" customHeight="1" x14ac:dyDescent="0.25">
      <c r="A401" s="170"/>
      <c r="B401" s="17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W401" s="25"/>
      <c r="AX401" s="25"/>
    </row>
    <row r="402" spans="1:50" s="34" customFormat="1" ht="15.75" x14ac:dyDescent="0.25">
      <c r="A402" s="13"/>
      <c r="B402" s="13"/>
      <c r="C402" s="183" t="s">
        <v>849</v>
      </c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</row>
    <row r="403" spans="1:50" s="19" customFormat="1" x14ac:dyDescent="0.25">
      <c r="A403" s="7"/>
      <c r="B403" s="17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W403" s="25"/>
      <c r="AX403" s="25"/>
    </row>
    <row r="404" spans="1:50" s="19" customFormat="1" x14ac:dyDescent="0.25">
      <c r="A404" s="7"/>
      <c r="B404" s="17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W404" s="25"/>
      <c r="AX404" s="25"/>
    </row>
    <row r="405" spans="1:50" s="19" customFormat="1" x14ac:dyDescent="0.25">
      <c r="A405" s="7"/>
      <c r="B405" s="17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W405" s="25"/>
      <c r="AX405" s="25"/>
    </row>
    <row r="406" spans="1:50" s="19" customFormat="1" x14ac:dyDescent="0.25">
      <c r="A406" s="7"/>
      <c r="B406" s="17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W406" s="25"/>
      <c r="AX406" s="25"/>
    </row>
    <row r="407" spans="1:50" s="19" customFormat="1" x14ac:dyDescent="0.25">
      <c r="A407" s="7"/>
      <c r="B407" s="17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W407" s="25"/>
      <c r="AX407" s="25"/>
    </row>
    <row r="408" spans="1:50" s="19" customFormat="1" x14ac:dyDescent="0.25">
      <c r="A408" s="7"/>
      <c r="B408" s="17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W408" s="25"/>
      <c r="AX408" s="25"/>
    </row>
    <row r="409" spans="1:50" s="19" customFormat="1" x14ac:dyDescent="0.25">
      <c r="A409" s="7"/>
      <c r="B409" s="17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W409" s="25"/>
      <c r="AX409" s="25"/>
    </row>
    <row r="410" spans="1:50" s="19" customFormat="1" x14ac:dyDescent="0.25">
      <c r="A410" s="7"/>
      <c r="B410" s="17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W410" s="25"/>
      <c r="AX410" s="25"/>
    </row>
    <row r="411" spans="1:50" s="19" customFormat="1" x14ac:dyDescent="0.25">
      <c r="A411" s="7"/>
      <c r="B411" s="17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W411" s="25"/>
      <c r="AX411" s="25"/>
    </row>
    <row r="412" spans="1:50" s="19" customFormat="1" x14ac:dyDescent="0.25">
      <c r="A412" s="7"/>
      <c r="B412" s="17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W412" s="25"/>
      <c r="AX412" s="25"/>
    </row>
    <row r="413" spans="1:50" s="19" customFormat="1" x14ac:dyDescent="0.25">
      <c r="A413" s="7"/>
      <c r="B413" s="17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W413" s="25"/>
      <c r="AX413" s="25"/>
    </row>
    <row r="414" spans="1:50" s="19" customFormat="1" ht="10.5" customHeight="1" x14ac:dyDescent="0.25">
      <c r="A414" s="7"/>
      <c r="B414" s="17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W414" s="25"/>
      <c r="AX414" s="25"/>
    </row>
    <row r="415" spans="1:50" s="19" customFormat="1" ht="10.5" customHeight="1" x14ac:dyDescent="0.25">
      <c r="A415" s="272"/>
      <c r="B415" s="277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W415" s="25"/>
      <c r="AX415" s="25"/>
    </row>
    <row r="416" spans="1:50" s="33" customFormat="1" x14ac:dyDescent="0.25">
      <c r="A416" s="17"/>
      <c r="B416" s="32"/>
      <c r="C416" s="231" t="s">
        <v>380</v>
      </c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2"/>
      <c r="AW416" s="34"/>
      <c r="AX416" s="34"/>
    </row>
    <row r="417" spans="1:50" s="19" customFormat="1" ht="30" customHeight="1" x14ac:dyDescent="0.25">
      <c r="A417" s="272"/>
      <c r="B417" s="277"/>
      <c r="C417" s="713" t="s">
        <v>973</v>
      </c>
      <c r="D417" s="714"/>
      <c r="E417" s="714"/>
      <c r="F417" s="714"/>
      <c r="G417" s="714"/>
      <c r="H417" s="714"/>
      <c r="I417" s="714"/>
      <c r="J417" s="714"/>
      <c r="K417" s="715"/>
      <c r="L417" s="710" t="s">
        <v>974</v>
      </c>
      <c r="M417" s="711"/>
      <c r="N417" s="711"/>
      <c r="O417" s="712"/>
      <c r="P417" s="597" t="s">
        <v>172</v>
      </c>
      <c r="Q417" s="598"/>
      <c r="R417" s="598"/>
      <c r="S417" s="598"/>
      <c r="T417" s="598"/>
      <c r="U417" s="598"/>
      <c r="V417" s="598"/>
      <c r="W417" s="598"/>
      <c r="X417" s="598"/>
      <c r="Y417" s="599"/>
      <c r="Z417" s="597" t="s">
        <v>173</v>
      </c>
      <c r="AA417" s="598"/>
      <c r="AB417" s="598"/>
      <c r="AC417" s="598"/>
      <c r="AD417" s="598"/>
      <c r="AE417" s="598"/>
      <c r="AF417" s="598"/>
      <c r="AG417" s="598"/>
      <c r="AH417" s="598"/>
      <c r="AI417" s="599"/>
      <c r="AJ417" s="597" t="s">
        <v>174</v>
      </c>
      <c r="AK417" s="598"/>
      <c r="AL417" s="598"/>
      <c r="AM417" s="598"/>
      <c r="AN417" s="598"/>
      <c r="AO417" s="598"/>
      <c r="AP417" s="598"/>
      <c r="AQ417" s="598"/>
      <c r="AR417" s="598"/>
      <c r="AS417" s="599"/>
      <c r="AW417" s="25"/>
      <c r="AX417" s="25"/>
    </row>
    <row r="418" spans="1:50" s="19" customFormat="1" ht="30" customHeight="1" x14ac:dyDescent="0.25">
      <c r="A418" s="272"/>
      <c r="B418" s="277"/>
      <c r="C418" s="716"/>
      <c r="D418" s="717"/>
      <c r="E418" s="717"/>
      <c r="F418" s="717"/>
      <c r="G418" s="717"/>
      <c r="H418" s="717"/>
      <c r="I418" s="717"/>
      <c r="J418" s="717"/>
      <c r="K418" s="718"/>
      <c r="L418" s="589"/>
      <c r="M418" s="590"/>
      <c r="N418" s="590"/>
      <c r="O418" s="591"/>
      <c r="P418" s="618" t="s">
        <v>975</v>
      </c>
      <c r="Q418" s="598"/>
      <c r="R418" s="598"/>
      <c r="S418" s="598"/>
      <c r="T418" s="599"/>
      <c r="U418" s="597" t="s">
        <v>976</v>
      </c>
      <c r="V418" s="598"/>
      <c r="W418" s="598"/>
      <c r="X418" s="598"/>
      <c r="Y418" s="599"/>
      <c r="Z418" s="618" t="s">
        <v>975</v>
      </c>
      <c r="AA418" s="598"/>
      <c r="AB418" s="598"/>
      <c r="AC418" s="598"/>
      <c r="AD418" s="599"/>
      <c r="AE418" s="597" t="s">
        <v>976</v>
      </c>
      <c r="AF418" s="598"/>
      <c r="AG418" s="598"/>
      <c r="AH418" s="598"/>
      <c r="AI418" s="599"/>
      <c r="AJ418" s="618" t="s">
        <v>975</v>
      </c>
      <c r="AK418" s="598"/>
      <c r="AL418" s="598"/>
      <c r="AM418" s="598"/>
      <c r="AN418" s="599"/>
      <c r="AO418" s="597" t="s">
        <v>976</v>
      </c>
      <c r="AP418" s="598"/>
      <c r="AQ418" s="598"/>
      <c r="AR418" s="598"/>
      <c r="AS418" s="599"/>
      <c r="AW418" s="25"/>
      <c r="AX418" s="25"/>
    </row>
    <row r="419" spans="1:50" s="19" customFormat="1" ht="15" customHeight="1" x14ac:dyDescent="0.25">
      <c r="A419" s="272"/>
      <c r="B419" s="277"/>
      <c r="C419" s="609" t="s">
        <v>977</v>
      </c>
      <c r="D419" s="610"/>
      <c r="E419" s="610"/>
      <c r="F419" s="610"/>
      <c r="G419" s="610"/>
      <c r="H419" s="610"/>
      <c r="I419" s="610"/>
      <c r="J419" s="610"/>
      <c r="K419" s="611"/>
      <c r="L419" s="342">
        <v>111</v>
      </c>
      <c r="M419" s="343"/>
      <c r="N419" s="343"/>
      <c r="O419" s="344"/>
      <c r="P419" s="342" t="s">
        <v>986</v>
      </c>
      <c r="Q419" s="343"/>
      <c r="R419" s="343"/>
      <c r="S419" s="343"/>
      <c r="T419" s="344"/>
      <c r="U419" s="606">
        <f>VLOOKUP("УТ-00041841",'Выгрузка из 1С'!$B$4:$K$2000,10,FALSE)</f>
        <v>35640</v>
      </c>
      <c r="V419" s="607"/>
      <c r="W419" s="607"/>
      <c r="X419" s="607"/>
      <c r="Y419" s="608"/>
      <c r="Z419" s="342" t="s">
        <v>996</v>
      </c>
      <c r="AA419" s="343"/>
      <c r="AB419" s="343"/>
      <c r="AC419" s="343"/>
      <c r="AD419" s="344"/>
      <c r="AE419" s="606">
        <f>VLOOKUP("УТ-00042135",'Выгрузка из 1С'!$B$4:$K$2000,10,FALSE)</f>
        <v>38160</v>
      </c>
      <c r="AF419" s="607"/>
      <c r="AG419" s="607"/>
      <c r="AH419" s="607"/>
      <c r="AI419" s="608"/>
      <c r="AJ419" s="342" t="s">
        <v>997</v>
      </c>
      <c r="AK419" s="343"/>
      <c r="AL419" s="343"/>
      <c r="AM419" s="343"/>
      <c r="AN419" s="344"/>
      <c r="AO419" s="606">
        <f>VLOOKUP("УТ-00041935",'Выгрузка из 1С'!$B$4:$K$2000,10,FALSE)</f>
        <v>56160</v>
      </c>
      <c r="AP419" s="607"/>
      <c r="AQ419" s="607"/>
      <c r="AR419" s="607"/>
      <c r="AS419" s="608"/>
      <c r="AW419" s="25"/>
      <c r="AX419" s="25"/>
    </row>
    <row r="420" spans="1:50" s="19" customFormat="1" ht="15" customHeight="1" x14ac:dyDescent="0.25">
      <c r="A420" s="272"/>
      <c r="B420" s="277"/>
      <c r="C420" s="609" t="s">
        <v>978</v>
      </c>
      <c r="D420" s="610"/>
      <c r="E420" s="610"/>
      <c r="F420" s="610"/>
      <c r="G420" s="610"/>
      <c r="H420" s="610"/>
      <c r="I420" s="610"/>
      <c r="J420" s="610"/>
      <c r="K420" s="611"/>
      <c r="L420" s="342">
        <v>111</v>
      </c>
      <c r="M420" s="343"/>
      <c r="N420" s="343"/>
      <c r="O420" s="344"/>
      <c r="P420" s="342" t="s">
        <v>987</v>
      </c>
      <c r="Q420" s="343"/>
      <c r="R420" s="343"/>
      <c r="S420" s="343"/>
      <c r="T420" s="344"/>
      <c r="U420" s="606">
        <f>VLOOKUP("УТ-00039453",'Выгрузка из 1С'!$B$4:$K$2000,10,FALSE)</f>
        <v>35640</v>
      </c>
      <c r="V420" s="607"/>
      <c r="W420" s="607"/>
      <c r="X420" s="607"/>
      <c r="Y420" s="608"/>
      <c r="Z420" s="342" t="s">
        <v>999</v>
      </c>
      <c r="AA420" s="343"/>
      <c r="AB420" s="343"/>
      <c r="AC420" s="343"/>
      <c r="AD420" s="344"/>
      <c r="AE420" s="606">
        <f>VLOOKUP("УТ-00042136",'Выгрузка из 1С'!$B$4:$K$2000,10,FALSE)</f>
        <v>38160</v>
      </c>
      <c r="AF420" s="607"/>
      <c r="AG420" s="607"/>
      <c r="AH420" s="607"/>
      <c r="AI420" s="608"/>
      <c r="AJ420" s="342" t="s">
        <v>998</v>
      </c>
      <c r="AK420" s="343"/>
      <c r="AL420" s="343"/>
      <c r="AM420" s="343"/>
      <c r="AN420" s="344"/>
      <c r="AO420" s="606">
        <f>VLOOKUP("УТ-00042139",'Выгрузка из 1С'!$B$4:$K$2000,10,FALSE)</f>
        <v>56160</v>
      </c>
      <c r="AP420" s="607"/>
      <c r="AQ420" s="607"/>
      <c r="AR420" s="607"/>
      <c r="AS420" s="608"/>
      <c r="AW420" s="25"/>
      <c r="AX420" s="25"/>
    </row>
    <row r="421" spans="1:50" s="19" customFormat="1" ht="15" customHeight="1" x14ac:dyDescent="0.25">
      <c r="A421" s="272"/>
      <c r="B421" s="277"/>
      <c r="C421" s="612" t="s">
        <v>979</v>
      </c>
      <c r="D421" s="613"/>
      <c r="E421" s="613"/>
      <c r="F421" s="613"/>
      <c r="G421" s="613"/>
      <c r="H421" s="613"/>
      <c r="I421" s="613"/>
      <c r="J421" s="613"/>
      <c r="K421" s="614"/>
      <c r="L421" s="342">
        <v>111</v>
      </c>
      <c r="M421" s="343"/>
      <c r="N421" s="343"/>
      <c r="O421" s="344"/>
      <c r="P421" s="342" t="s">
        <v>988</v>
      </c>
      <c r="Q421" s="343"/>
      <c r="R421" s="343"/>
      <c r="S421" s="343"/>
      <c r="T421" s="344"/>
      <c r="U421" s="606">
        <f>VLOOKUP("УТ-00113658",'Выгрузка из 1С'!$B$4:$K$2000,10,FALSE)</f>
        <v>38520</v>
      </c>
      <c r="V421" s="607"/>
      <c r="W421" s="607"/>
      <c r="X421" s="607"/>
      <c r="Y421" s="608"/>
      <c r="Z421" s="342" t="s">
        <v>1000</v>
      </c>
      <c r="AA421" s="343"/>
      <c r="AB421" s="343"/>
      <c r="AC421" s="343"/>
      <c r="AD421" s="344"/>
      <c r="AE421" s="606">
        <f>VLOOKUP("УТ-00104709",'Выгрузка из 1С'!$B$4:$K$2000,10,FALSE)</f>
        <v>41040</v>
      </c>
      <c r="AF421" s="607"/>
      <c r="AG421" s="607"/>
      <c r="AH421" s="607"/>
      <c r="AI421" s="608"/>
      <c r="AJ421" s="342" t="s">
        <v>1001</v>
      </c>
      <c r="AK421" s="343"/>
      <c r="AL421" s="343"/>
      <c r="AM421" s="343"/>
      <c r="AN421" s="344"/>
      <c r="AO421" s="606">
        <f>VLOOKUP("УТ-00113659",'Выгрузка из 1С'!$B$4:$K$2000,10,FALSE)</f>
        <v>61320</v>
      </c>
      <c r="AP421" s="607"/>
      <c r="AQ421" s="607"/>
      <c r="AR421" s="607"/>
      <c r="AS421" s="608"/>
      <c r="AW421" s="25"/>
      <c r="AX421" s="25"/>
    </row>
    <row r="422" spans="1:50" s="19" customFormat="1" ht="15" customHeight="1" x14ac:dyDescent="0.25">
      <c r="A422" s="272"/>
      <c r="B422" s="277"/>
      <c r="C422" s="609" t="s">
        <v>980</v>
      </c>
      <c r="D422" s="610"/>
      <c r="E422" s="610"/>
      <c r="F422" s="610"/>
      <c r="G422" s="610"/>
      <c r="H422" s="610"/>
      <c r="I422" s="610"/>
      <c r="J422" s="610"/>
      <c r="K422" s="611"/>
      <c r="L422" s="342">
        <v>111</v>
      </c>
      <c r="M422" s="343"/>
      <c r="N422" s="343"/>
      <c r="O422" s="344"/>
      <c r="P422" s="342" t="s">
        <v>989</v>
      </c>
      <c r="Q422" s="343"/>
      <c r="R422" s="343"/>
      <c r="S422" s="343"/>
      <c r="T422" s="344"/>
      <c r="U422" s="606">
        <f>VLOOKUP("УТ-00104783",'Выгрузка из 1С'!$B$4:$K$2000,10,FALSE)</f>
        <v>38520</v>
      </c>
      <c r="V422" s="607"/>
      <c r="W422" s="607"/>
      <c r="X422" s="607"/>
      <c r="Y422" s="608"/>
      <c r="Z422" s="342" t="s">
        <v>1015</v>
      </c>
      <c r="AA422" s="343"/>
      <c r="AB422" s="343"/>
      <c r="AC422" s="343"/>
      <c r="AD422" s="344"/>
      <c r="AE422" s="606">
        <f>VLOOKUP("УТ-00113656",'Выгрузка из 1С'!$B$4:$K$2000,10,FALSE)</f>
        <v>41040</v>
      </c>
      <c r="AF422" s="607"/>
      <c r="AG422" s="607"/>
      <c r="AH422" s="607"/>
      <c r="AI422" s="608"/>
      <c r="AJ422" s="342" t="s">
        <v>1002</v>
      </c>
      <c r="AK422" s="343"/>
      <c r="AL422" s="343"/>
      <c r="AM422" s="343"/>
      <c r="AN422" s="344"/>
      <c r="AO422" s="606">
        <f>VLOOKUP("УТ-00113657",'Выгрузка из 1С'!$B$4:$K$2000,10,FALSE)</f>
        <v>61320</v>
      </c>
      <c r="AP422" s="607"/>
      <c r="AQ422" s="607"/>
      <c r="AR422" s="607"/>
      <c r="AS422" s="608"/>
      <c r="AW422" s="25"/>
      <c r="AX422" s="25"/>
    </row>
    <row r="423" spans="1:50" s="19" customFormat="1" ht="15" customHeight="1" x14ac:dyDescent="0.25">
      <c r="A423" s="272"/>
      <c r="B423" s="277"/>
      <c r="C423" s="609" t="s">
        <v>981</v>
      </c>
      <c r="D423" s="610"/>
      <c r="E423" s="610"/>
      <c r="F423" s="610"/>
      <c r="G423" s="610"/>
      <c r="H423" s="610"/>
      <c r="I423" s="610"/>
      <c r="J423" s="610"/>
      <c r="K423" s="611"/>
      <c r="L423" s="342">
        <v>128</v>
      </c>
      <c r="M423" s="343"/>
      <c r="N423" s="343"/>
      <c r="O423" s="344"/>
      <c r="P423" s="342" t="s">
        <v>990</v>
      </c>
      <c r="Q423" s="343"/>
      <c r="R423" s="343"/>
      <c r="S423" s="343"/>
      <c r="T423" s="344"/>
      <c r="U423" s="606">
        <f>VLOOKUP("УТ-00039452",'Выгрузка из 1С'!$B$4:$K$2000,10,FALSE)</f>
        <v>39720</v>
      </c>
      <c r="V423" s="607"/>
      <c r="W423" s="607"/>
      <c r="X423" s="607"/>
      <c r="Y423" s="608"/>
      <c r="Z423" s="342" t="s">
        <v>1014</v>
      </c>
      <c r="AA423" s="343"/>
      <c r="AB423" s="343"/>
      <c r="AC423" s="343"/>
      <c r="AD423" s="344"/>
      <c r="AE423" s="606">
        <f>VLOOKUP("УТ-00042137",'Выгрузка из 1С'!$B$4:$K$2000,10,FALSE)</f>
        <v>43560</v>
      </c>
      <c r="AF423" s="607"/>
      <c r="AG423" s="607"/>
      <c r="AH423" s="607"/>
      <c r="AI423" s="608"/>
      <c r="AJ423" s="342" t="s">
        <v>1003</v>
      </c>
      <c r="AK423" s="343"/>
      <c r="AL423" s="343"/>
      <c r="AM423" s="343"/>
      <c r="AN423" s="344"/>
      <c r="AO423" s="606">
        <f>VLOOKUP("УТ-00042140",'Выгрузка из 1С'!$B$4:$K$2000,10,FALSE)</f>
        <v>64560</v>
      </c>
      <c r="AP423" s="607"/>
      <c r="AQ423" s="607"/>
      <c r="AR423" s="607"/>
      <c r="AS423" s="608"/>
      <c r="AW423" s="25"/>
      <c r="AX423" s="25"/>
    </row>
    <row r="424" spans="1:50" s="19" customFormat="1" ht="15" customHeight="1" x14ac:dyDescent="0.25">
      <c r="A424" s="272"/>
      <c r="B424" s="277"/>
      <c r="C424" s="609" t="s">
        <v>982</v>
      </c>
      <c r="D424" s="610"/>
      <c r="E424" s="610"/>
      <c r="F424" s="610"/>
      <c r="G424" s="610"/>
      <c r="H424" s="610"/>
      <c r="I424" s="610"/>
      <c r="J424" s="610"/>
      <c r="K424" s="611"/>
      <c r="L424" s="342">
        <v>128</v>
      </c>
      <c r="M424" s="343"/>
      <c r="N424" s="343"/>
      <c r="O424" s="344"/>
      <c r="P424" s="342" t="s">
        <v>991</v>
      </c>
      <c r="Q424" s="343"/>
      <c r="R424" s="343"/>
      <c r="S424" s="343"/>
      <c r="T424" s="344"/>
      <c r="U424" s="606">
        <f>VLOOKUP("00-00000008",'Выгрузка из 1С'!$B$4:$K$2000,10,FALSE)</f>
        <v>39720</v>
      </c>
      <c r="V424" s="607"/>
      <c r="W424" s="607"/>
      <c r="X424" s="607"/>
      <c r="Y424" s="608"/>
      <c r="Z424" s="342" t="s">
        <v>1013</v>
      </c>
      <c r="AA424" s="343"/>
      <c r="AB424" s="343"/>
      <c r="AC424" s="343"/>
      <c r="AD424" s="344"/>
      <c r="AE424" s="606">
        <f>VLOOKUP("УТ-00039439",'Выгрузка из 1С'!$B$4:$K$2000,10,FALSE)</f>
        <v>43560</v>
      </c>
      <c r="AF424" s="607"/>
      <c r="AG424" s="607"/>
      <c r="AH424" s="607"/>
      <c r="AI424" s="608"/>
      <c r="AJ424" s="342" t="s">
        <v>1004</v>
      </c>
      <c r="AK424" s="343"/>
      <c r="AL424" s="343"/>
      <c r="AM424" s="343"/>
      <c r="AN424" s="344"/>
      <c r="AO424" s="606">
        <f>VLOOKUP("УТ-00042141",'Выгрузка из 1С'!$B$4:$K$2000,10,FALSE)</f>
        <v>64560</v>
      </c>
      <c r="AP424" s="607"/>
      <c r="AQ424" s="607"/>
      <c r="AR424" s="607"/>
      <c r="AS424" s="608"/>
      <c r="AW424" s="25"/>
      <c r="AX424" s="25"/>
    </row>
    <row r="425" spans="1:50" s="19" customFormat="1" ht="15" customHeight="1" x14ac:dyDescent="0.25">
      <c r="A425" s="272"/>
      <c r="B425" s="277"/>
      <c r="C425" s="612" t="s">
        <v>983</v>
      </c>
      <c r="D425" s="613"/>
      <c r="E425" s="613"/>
      <c r="F425" s="613"/>
      <c r="G425" s="613"/>
      <c r="H425" s="613"/>
      <c r="I425" s="613"/>
      <c r="J425" s="613"/>
      <c r="K425" s="614"/>
      <c r="L425" s="342">
        <v>128</v>
      </c>
      <c r="M425" s="343"/>
      <c r="N425" s="343"/>
      <c r="O425" s="344"/>
      <c r="P425" s="342" t="s">
        <v>992</v>
      </c>
      <c r="Q425" s="343"/>
      <c r="R425" s="343"/>
      <c r="S425" s="343"/>
      <c r="T425" s="344"/>
      <c r="U425" s="606">
        <f>VLOOKUP("УТ-00099800",'Выгрузка из 1С'!$B$4:$K$2000,10,FALSE)</f>
        <v>44040</v>
      </c>
      <c r="V425" s="607"/>
      <c r="W425" s="607"/>
      <c r="X425" s="607"/>
      <c r="Y425" s="608"/>
      <c r="Z425" s="342" t="s">
        <v>1012</v>
      </c>
      <c r="AA425" s="343"/>
      <c r="AB425" s="343"/>
      <c r="AC425" s="343"/>
      <c r="AD425" s="344"/>
      <c r="AE425" s="606">
        <f>VLOOKUP("УТ-00099801",'Выгрузка из 1С'!$B$4:$K$2000,10,FALSE)</f>
        <v>46680</v>
      </c>
      <c r="AF425" s="607"/>
      <c r="AG425" s="607"/>
      <c r="AH425" s="607"/>
      <c r="AI425" s="608"/>
      <c r="AJ425" s="342" t="s">
        <v>1005</v>
      </c>
      <c r="AK425" s="343"/>
      <c r="AL425" s="343"/>
      <c r="AM425" s="343"/>
      <c r="AN425" s="344"/>
      <c r="AO425" s="606">
        <f>VLOOKUP("УТ-00099802",'Выгрузка из 1С'!$B$4:$K$2000,10,FALSE)</f>
        <v>69840</v>
      </c>
      <c r="AP425" s="607"/>
      <c r="AQ425" s="607"/>
      <c r="AR425" s="607"/>
      <c r="AS425" s="608"/>
      <c r="AW425" s="25"/>
      <c r="AX425" s="25"/>
    </row>
    <row r="426" spans="1:50" s="19" customFormat="1" ht="15" customHeight="1" x14ac:dyDescent="0.25">
      <c r="A426" s="272"/>
      <c r="B426" s="277"/>
      <c r="C426" s="609" t="s">
        <v>984</v>
      </c>
      <c r="D426" s="610"/>
      <c r="E426" s="610"/>
      <c r="F426" s="610"/>
      <c r="G426" s="610"/>
      <c r="H426" s="610"/>
      <c r="I426" s="610"/>
      <c r="J426" s="610"/>
      <c r="K426" s="611"/>
      <c r="L426" s="342">
        <v>128</v>
      </c>
      <c r="M426" s="343"/>
      <c r="N426" s="343"/>
      <c r="O426" s="344"/>
      <c r="P426" s="342" t="s">
        <v>993</v>
      </c>
      <c r="Q426" s="343"/>
      <c r="R426" s="343"/>
      <c r="S426" s="343"/>
      <c r="T426" s="344"/>
      <c r="U426" s="606">
        <f>VLOOKUP("УТ-00099803",'Выгрузка из 1С'!$B$4:$K$2000,10,FALSE)</f>
        <v>44040</v>
      </c>
      <c r="V426" s="607"/>
      <c r="W426" s="607"/>
      <c r="X426" s="607"/>
      <c r="Y426" s="608"/>
      <c r="Z426" s="342" t="s">
        <v>1011</v>
      </c>
      <c r="AA426" s="343"/>
      <c r="AB426" s="343"/>
      <c r="AC426" s="343"/>
      <c r="AD426" s="344"/>
      <c r="AE426" s="606">
        <f>VLOOKUP("УТ-00099804",'Выгрузка из 1С'!$B$4:$K$2000,10,FALSE)</f>
        <v>46680</v>
      </c>
      <c r="AF426" s="607"/>
      <c r="AG426" s="607"/>
      <c r="AH426" s="607"/>
      <c r="AI426" s="608"/>
      <c r="AJ426" s="342" t="s">
        <v>1006</v>
      </c>
      <c r="AK426" s="343"/>
      <c r="AL426" s="343"/>
      <c r="AM426" s="343"/>
      <c r="AN426" s="344"/>
      <c r="AO426" s="606">
        <f>VLOOKUP("УТ-00099805",'Выгрузка из 1С'!$B$4:$K$2000,10,FALSE)</f>
        <v>69840</v>
      </c>
      <c r="AP426" s="607"/>
      <c r="AQ426" s="607"/>
      <c r="AR426" s="607"/>
      <c r="AS426" s="608"/>
      <c r="AW426" s="25"/>
      <c r="AX426" s="25"/>
    </row>
    <row r="427" spans="1:50" s="19" customFormat="1" ht="15" customHeight="1" x14ac:dyDescent="0.25">
      <c r="A427" s="272"/>
      <c r="B427" s="277"/>
      <c r="C427" s="615" t="s">
        <v>985</v>
      </c>
      <c r="D427" s="616"/>
      <c r="E427" s="616"/>
      <c r="F427" s="616"/>
      <c r="G427" s="616"/>
      <c r="H427" s="616"/>
      <c r="I427" s="616"/>
      <c r="J427" s="616"/>
      <c r="K427" s="617"/>
      <c r="L427" s="342">
        <v>153</v>
      </c>
      <c r="M427" s="343"/>
      <c r="N427" s="343"/>
      <c r="O427" s="344"/>
      <c r="P427" s="342" t="s">
        <v>994</v>
      </c>
      <c r="Q427" s="343"/>
      <c r="R427" s="343"/>
      <c r="S427" s="343"/>
      <c r="T427" s="344"/>
      <c r="U427" s="606">
        <f>VLOOKUP("УТ-00041839",'Выгрузка из 1С'!$B$4:$K$2000,10,FALSE)</f>
        <v>45240</v>
      </c>
      <c r="V427" s="607"/>
      <c r="W427" s="607"/>
      <c r="X427" s="607"/>
      <c r="Y427" s="608"/>
      <c r="Z427" s="342" t="s">
        <v>1010</v>
      </c>
      <c r="AA427" s="343"/>
      <c r="AB427" s="343"/>
      <c r="AC427" s="343"/>
      <c r="AD427" s="344"/>
      <c r="AE427" s="606">
        <f>VLOOKUP("УТ-00042103",'Выгрузка из 1С'!$B$4:$K$2000,10,FALSE)</f>
        <v>49440</v>
      </c>
      <c r="AF427" s="607"/>
      <c r="AG427" s="607"/>
      <c r="AH427" s="607"/>
      <c r="AI427" s="608"/>
      <c r="AJ427" s="342" t="s">
        <v>1007</v>
      </c>
      <c r="AK427" s="343"/>
      <c r="AL427" s="343"/>
      <c r="AM427" s="343"/>
      <c r="AN427" s="344"/>
      <c r="AO427" s="606">
        <f>VLOOKUP("УТ-00041804",'Выгрузка из 1С'!$B$4:$K$2000,10,FALSE)</f>
        <v>73200</v>
      </c>
      <c r="AP427" s="607"/>
      <c r="AQ427" s="607"/>
      <c r="AR427" s="607"/>
      <c r="AS427" s="608"/>
      <c r="AW427" s="25"/>
      <c r="AX427" s="25"/>
    </row>
    <row r="428" spans="1:50" s="19" customFormat="1" ht="15" customHeight="1" x14ac:dyDescent="0.25">
      <c r="A428" s="272"/>
      <c r="B428" s="277"/>
      <c r="C428" s="615" t="s">
        <v>1017</v>
      </c>
      <c r="D428" s="616"/>
      <c r="E428" s="616"/>
      <c r="F428" s="616"/>
      <c r="G428" s="616"/>
      <c r="H428" s="616"/>
      <c r="I428" s="616"/>
      <c r="J428" s="616"/>
      <c r="K428" s="617"/>
      <c r="L428" s="342">
        <v>153</v>
      </c>
      <c r="M428" s="343"/>
      <c r="N428" s="343"/>
      <c r="O428" s="344"/>
      <c r="P428" s="342" t="s">
        <v>995</v>
      </c>
      <c r="Q428" s="343"/>
      <c r="R428" s="343"/>
      <c r="S428" s="343"/>
      <c r="T428" s="344"/>
      <c r="U428" s="606">
        <f>VLOOKUP("00-00039391",'Выгрузка из 1С'!$B$4:$K$2000,10,FALSE)</f>
        <v>45240</v>
      </c>
      <c r="V428" s="607"/>
      <c r="W428" s="607"/>
      <c r="X428" s="607"/>
      <c r="Y428" s="608"/>
      <c r="Z428" s="342" t="s">
        <v>1009</v>
      </c>
      <c r="AA428" s="343"/>
      <c r="AB428" s="343"/>
      <c r="AC428" s="343"/>
      <c r="AD428" s="344"/>
      <c r="AE428" s="606">
        <f>VLOOKUP("УТ-00042138",'Выгрузка из 1С'!$B$4:$K$2000,10,FALSE)</f>
        <v>49440</v>
      </c>
      <c r="AF428" s="607"/>
      <c r="AG428" s="607"/>
      <c r="AH428" s="607"/>
      <c r="AI428" s="608"/>
      <c r="AJ428" s="342" t="s">
        <v>1008</v>
      </c>
      <c r="AK428" s="343"/>
      <c r="AL428" s="343"/>
      <c r="AM428" s="343"/>
      <c r="AN428" s="344"/>
      <c r="AO428" s="606">
        <f>VLOOKUP("УТ-00042142",'Выгрузка из 1С'!$B$4:$K$2000,10,FALSE)</f>
        <v>73200</v>
      </c>
      <c r="AP428" s="607"/>
      <c r="AQ428" s="607"/>
      <c r="AR428" s="607"/>
      <c r="AS428" s="608"/>
      <c r="AW428" s="25"/>
      <c r="AX428" s="25"/>
    </row>
    <row r="429" spans="1:50" s="19" customFormat="1" ht="15" customHeight="1" x14ac:dyDescent="0.25">
      <c r="A429" s="272"/>
      <c r="B429" s="277"/>
      <c r="C429" s="609"/>
      <c r="D429" s="610"/>
      <c r="E429" s="610"/>
      <c r="F429" s="610"/>
      <c r="G429" s="610"/>
      <c r="H429" s="610"/>
      <c r="I429" s="610"/>
      <c r="J429" s="610"/>
      <c r="K429" s="611"/>
      <c r="L429" s="342"/>
      <c r="M429" s="343"/>
      <c r="N429" s="343"/>
      <c r="O429" s="344"/>
      <c r="P429" s="597"/>
      <c r="Q429" s="598"/>
      <c r="R429" s="598"/>
      <c r="S429" s="598"/>
      <c r="T429" s="599"/>
      <c r="U429" s="597"/>
      <c r="V429" s="598"/>
      <c r="W429" s="598"/>
      <c r="X429" s="598"/>
      <c r="Y429" s="599"/>
      <c r="Z429" s="597"/>
      <c r="AA429" s="598"/>
      <c r="AB429" s="598"/>
      <c r="AC429" s="598"/>
      <c r="AD429" s="599"/>
      <c r="AE429" s="597"/>
      <c r="AF429" s="598"/>
      <c r="AG429" s="598"/>
      <c r="AH429" s="598"/>
      <c r="AI429" s="599"/>
      <c r="AJ429" s="597"/>
      <c r="AK429" s="598"/>
      <c r="AL429" s="598"/>
      <c r="AM429" s="598"/>
      <c r="AN429" s="599"/>
      <c r="AO429" s="597"/>
      <c r="AP429" s="598"/>
      <c r="AQ429" s="598"/>
      <c r="AR429" s="598"/>
      <c r="AS429" s="599"/>
      <c r="AW429" s="25"/>
      <c r="AX429" s="25"/>
    </row>
    <row r="430" spans="1:50" s="19" customFormat="1" ht="15" customHeight="1" x14ac:dyDescent="0.25">
      <c r="A430" s="272"/>
      <c r="B430" s="277"/>
      <c r="C430" s="231" t="s">
        <v>1016</v>
      </c>
      <c r="D430" s="275"/>
      <c r="E430" s="275"/>
      <c r="F430" s="275"/>
      <c r="G430" s="275"/>
      <c r="H430" s="275"/>
      <c r="I430" s="275"/>
      <c r="J430" s="275"/>
      <c r="K430" s="275"/>
      <c r="L430" s="284"/>
      <c r="M430" s="284"/>
      <c r="N430" s="284"/>
      <c r="O430" s="284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  <c r="Z430" s="275"/>
      <c r="AA430" s="275"/>
      <c r="AB430" s="275"/>
      <c r="AC430" s="275"/>
      <c r="AD430" s="275"/>
      <c r="AE430" s="275"/>
      <c r="AF430" s="275"/>
      <c r="AG430" s="275"/>
      <c r="AH430" s="275"/>
      <c r="AI430" s="275"/>
      <c r="AJ430" s="275"/>
      <c r="AK430" s="275"/>
      <c r="AL430" s="275"/>
      <c r="AM430" s="275"/>
      <c r="AN430" s="275"/>
      <c r="AO430" s="275"/>
      <c r="AP430" s="275"/>
      <c r="AQ430" s="275"/>
      <c r="AR430" s="275"/>
      <c r="AS430" s="276"/>
      <c r="AW430" s="25"/>
      <c r="AX430" s="25"/>
    </row>
    <row r="431" spans="1:50" s="19" customFormat="1" ht="29.25" customHeight="1" x14ac:dyDescent="0.25">
      <c r="A431" s="272"/>
      <c r="B431" s="277"/>
      <c r="C431" s="713" t="s">
        <v>973</v>
      </c>
      <c r="D431" s="714"/>
      <c r="E431" s="714"/>
      <c r="F431" s="714"/>
      <c r="G431" s="714"/>
      <c r="H431" s="714"/>
      <c r="I431" s="714"/>
      <c r="J431" s="714"/>
      <c r="K431" s="715"/>
      <c r="L431" s="710" t="s">
        <v>974</v>
      </c>
      <c r="M431" s="711"/>
      <c r="N431" s="711"/>
      <c r="O431" s="712"/>
      <c r="P431" s="597" t="s">
        <v>172</v>
      </c>
      <c r="Q431" s="598"/>
      <c r="R431" s="598"/>
      <c r="S431" s="598"/>
      <c r="T431" s="598"/>
      <c r="U431" s="598"/>
      <c r="V431" s="598"/>
      <c r="W431" s="598"/>
      <c r="X431" s="598"/>
      <c r="Y431" s="599"/>
      <c r="Z431" s="597" t="s">
        <v>173</v>
      </c>
      <c r="AA431" s="598"/>
      <c r="AB431" s="598"/>
      <c r="AC431" s="598"/>
      <c r="AD431" s="598"/>
      <c r="AE431" s="598"/>
      <c r="AF431" s="598"/>
      <c r="AG431" s="598"/>
      <c r="AH431" s="598"/>
      <c r="AI431" s="599"/>
      <c r="AJ431" s="597" t="s">
        <v>174</v>
      </c>
      <c r="AK431" s="598"/>
      <c r="AL431" s="598"/>
      <c r="AM431" s="598"/>
      <c r="AN431" s="598"/>
      <c r="AO431" s="598"/>
      <c r="AP431" s="598"/>
      <c r="AQ431" s="598"/>
      <c r="AR431" s="598"/>
      <c r="AS431" s="599"/>
      <c r="AW431" s="25"/>
      <c r="AX431" s="25"/>
    </row>
    <row r="432" spans="1:50" s="19" customFormat="1" ht="28.5" customHeight="1" x14ac:dyDescent="0.25">
      <c r="A432" s="272"/>
      <c r="B432" s="277"/>
      <c r="C432" s="716"/>
      <c r="D432" s="717"/>
      <c r="E432" s="717"/>
      <c r="F432" s="717"/>
      <c r="G432" s="717"/>
      <c r="H432" s="717"/>
      <c r="I432" s="717"/>
      <c r="J432" s="717"/>
      <c r="K432" s="718"/>
      <c r="L432" s="589"/>
      <c r="M432" s="590"/>
      <c r="N432" s="590"/>
      <c r="O432" s="591"/>
      <c r="P432" s="618" t="s">
        <v>975</v>
      </c>
      <c r="Q432" s="598"/>
      <c r="R432" s="598"/>
      <c r="S432" s="598"/>
      <c r="T432" s="599"/>
      <c r="U432" s="597" t="s">
        <v>976</v>
      </c>
      <c r="V432" s="598"/>
      <c r="W432" s="598"/>
      <c r="X432" s="598"/>
      <c r="Y432" s="599"/>
      <c r="Z432" s="618" t="s">
        <v>975</v>
      </c>
      <c r="AA432" s="598"/>
      <c r="AB432" s="598"/>
      <c r="AC432" s="598"/>
      <c r="AD432" s="599"/>
      <c r="AE432" s="597" t="s">
        <v>976</v>
      </c>
      <c r="AF432" s="598"/>
      <c r="AG432" s="598"/>
      <c r="AH432" s="598"/>
      <c r="AI432" s="599"/>
      <c r="AJ432" s="618" t="s">
        <v>975</v>
      </c>
      <c r="AK432" s="598"/>
      <c r="AL432" s="598"/>
      <c r="AM432" s="598"/>
      <c r="AN432" s="599"/>
      <c r="AO432" s="597" t="s">
        <v>976</v>
      </c>
      <c r="AP432" s="598"/>
      <c r="AQ432" s="598"/>
      <c r="AR432" s="598"/>
      <c r="AS432" s="599"/>
      <c r="AW432" s="25"/>
      <c r="AX432" s="25"/>
    </row>
    <row r="433" spans="1:50" s="19" customFormat="1" ht="15" customHeight="1" x14ac:dyDescent="0.25">
      <c r="A433" s="272"/>
      <c r="B433" s="277"/>
      <c r="C433" s="609" t="s">
        <v>977</v>
      </c>
      <c r="D433" s="610"/>
      <c r="E433" s="610"/>
      <c r="F433" s="610"/>
      <c r="G433" s="610"/>
      <c r="H433" s="610"/>
      <c r="I433" s="610"/>
      <c r="J433" s="610"/>
      <c r="K433" s="611"/>
      <c r="L433" s="342">
        <v>140</v>
      </c>
      <c r="M433" s="343"/>
      <c r="N433" s="343"/>
      <c r="O433" s="344"/>
      <c r="P433" s="342" t="s">
        <v>986</v>
      </c>
      <c r="Q433" s="343"/>
      <c r="R433" s="343"/>
      <c r="S433" s="343"/>
      <c r="T433" s="344"/>
      <c r="U433" s="606">
        <f>VLOOKUP("УТ-00042123",'Выгрузка из 1С'!$B$4:$K$2000,10,FALSE)</f>
        <v>37080</v>
      </c>
      <c r="V433" s="607"/>
      <c r="W433" s="607"/>
      <c r="X433" s="607"/>
      <c r="Y433" s="608"/>
      <c r="Z433" s="342" t="s">
        <v>996</v>
      </c>
      <c r="AA433" s="343"/>
      <c r="AB433" s="343"/>
      <c r="AC433" s="343"/>
      <c r="AD433" s="344"/>
      <c r="AE433" s="606">
        <f>VLOOKUP("УТ-00042127",'Выгрузка из 1С'!$B$4:$K$2000,10,FALSE)</f>
        <v>39120</v>
      </c>
      <c r="AF433" s="607"/>
      <c r="AG433" s="607"/>
      <c r="AH433" s="607"/>
      <c r="AI433" s="608"/>
      <c r="AJ433" s="342" t="s">
        <v>997</v>
      </c>
      <c r="AK433" s="343"/>
      <c r="AL433" s="343"/>
      <c r="AM433" s="343"/>
      <c r="AN433" s="344"/>
      <c r="AO433" s="606">
        <f>VLOOKUP("УТ-00042131",'Выгрузка из 1С'!$B$4:$K$2000,10,FALSE)</f>
        <v>57600</v>
      </c>
      <c r="AP433" s="607"/>
      <c r="AQ433" s="607"/>
      <c r="AR433" s="607"/>
      <c r="AS433" s="608"/>
      <c r="AW433" s="25"/>
      <c r="AX433" s="25"/>
    </row>
    <row r="434" spans="1:50" s="19" customFormat="1" ht="15" customHeight="1" x14ac:dyDescent="0.25">
      <c r="A434" s="272"/>
      <c r="B434" s="277"/>
      <c r="C434" s="609" t="s">
        <v>978</v>
      </c>
      <c r="D434" s="610"/>
      <c r="E434" s="610"/>
      <c r="F434" s="610"/>
      <c r="G434" s="610"/>
      <c r="H434" s="610"/>
      <c r="I434" s="610"/>
      <c r="J434" s="610"/>
      <c r="K434" s="611"/>
      <c r="L434" s="342">
        <v>140</v>
      </c>
      <c r="M434" s="343"/>
      <c r="N434" s="343"/>
      <c r="O434" s="344"/>
      <c r="P434" s="342" t="s">
        <v>987</v>
      </c>
      <c r="Q434" s="343"/>
      <c r="R434" s="343"/>
      <c r="S434" s="343"/>
      <c r="T434" s="344"/>
      <c r="U434" s="606">
        <f>VLOOKUP("УТ-00042124",'Выгрузка из 1С'!$B$4:$K$2000,10,FALSE)</f>
        <v>37080</v>
      </c>
      <c r="V434" s="607"/>
      <c r="W434" s="607"/>
      <c r="X434" s="607"/>
      <c r="Y434" s="608"/>
      <c r="Z434" s="342" t="s">
        <v>999</v>
      </c>
      <c r="AA434" s="343"/>
      <c r="AB434" s="343"/>
      <c r="AC434" s="343"/>
      <c r="AD434" s="344"/>
      <c r="AE434" s="606">
        <f>VLOOKUP("УТ-00042128",'Выгрузка из 1С'!$B$4:$K$2000,10,FALSE)</f>
        <v>39120</v>
      </c>
      <c r="AF434" s="607"/>
      <c r="AG434" s="607"/>
      <c r="AH434" s="607"/>
      <c r="AI434" s="608"/>
      <c r="AJ434" s="342" t="s">
        <v>998</v>
      </c>
      <c r="AK434" s="343"/>
      <c r="AL434" s="343"/>
      <c r="AM434" s="343"/>
      <c r="AN434" s="344"/>
      <c r="AO434" s="606">
        <f>VLOOKUP("УТ-00042132",'Выгрузка из 1С'!$B$4:$K$2000,10,FALSE)</f>
        <v>57600</v>
      </c>
      <c r="AP434" s="607"/>
      <c r="AQ434" s="607"/>
      <c r="AR434" s="607"/>
      <c r="AS434" s="608"/>
      <c r="AW434" s="25"/>
      <c r="AX434" s="25"/>
    </row>
    <row r="435" spans="1:50" s="19" customFormat="1" ht="15" customHeight="1" x14ac:dyDescent="0.25">
      <c r="A435" s="272"/>
      <c r="B435" s="277"/>
      <c r="C435" s="609" t="s">
        <v>981</v>
      </c>
      <c r="D435" s="610"/>
      <c r="E435" s="610"/>
      <c r="F435" s="610"/>
      <c r="G435" s="610"/>
      <c r="H435" s="610"/>
      <c r="I435" s="610"/>
      <c r="J435" s="610"/>
      <c r="K435" s="611"/>
      <c r="L435" s="342">
        <v>170</v>
      </c>
      <c r="M435" s="343"/>
      <c r="N435" s="343"/>
      <c r="O435" s="344"/>
      <c r="P435" s="342" t="s">
        <v>990</v>
      </c>
      <c r="Q435" s="343"/>
      <c r="R435" s="343"/>
      <c r="S435" s="343"/>
      <c r="T435" s="344"/>
      <c r="U435" s="606">
        <f>VLOOKUP("УТ-00042125",'Выгрузка из 1С'!$B$4:$K$2000,10,FALSE)</f>
        <v>49680</v>
      </c>
      <c r="V435" s="607"/>
      <c r="W435" s="607"/>
      <c r="X435" s="607"/>
      <c r="Y435" s="608"/>
      <c r="Z435" s="342" t="s">
        <v>1014</v>
      </c>
      <c r="AA435" s="343"/>
      <c r="AB435" s="343"/>
      <c r="AC435" s="343"/>
      <c r="AD435" s="344"/>
      <c r="AE435" s="606">
        <f>VLOOKUP("УТ-00042129",'Выгрузка из 1С'!$B$4:$K$2000,10,FALSE)</f>
        <v>52680</v>
      </c>
      <c r="AF435" s="607"/>
      <c r="AG435" s="607"/>
      <c r="AH435" s="607"/>
      <c r="AI435" s="608"/>
      <c r="AJ435" s="342" t="s">
        <v>1003</v>
      </c>
      <c r="AK435" s="343"/>
      <c r="AL435" s="343"/>
      <c r="AM435" s="343"/>
      <c r="AN435" s="344"/>
      <c r="AO435" s="606">
        <f>VLOOKUP("УТ-00042133",'Выгрузка из 1С'!$B$4:$K$2000,10,FALSE)</f>
        <v>79320</v>
      </c>
      <c r="AP435" s="607"/>
      <c r="AQ435" s="607"/>
      <c r="AR435" s="607"/>
      <c r="AS435" s="608"/>
      <c r="AW435" s="25"/>
      <c r="AX435" s="25"/>
    </row>
    <row r="436" spans="1:50" s="19" customFormat="1" ht="15" customHeight="1" x14ac:dyDescent="0.25">
      <c r="A436" s="272"/>
      <c r="B436" s="277"/>
      <c r="C436" s="609" t="s">
        <v>982</v>
      </c>
      <c r="D436" s="610"/>
      <c r="E436" s="610"/>
      <c r="F436" s="610"/>
      <c r="G436" s="610"/>
      <c r="H436" s="610"/>
      <c r="I436" s="610"/>
      <c r="J436" s="610"/>
      <c r="K436" s="611"/>
      <c r="L436" s="342">
        <v>170</v>
      </c>
      <c r="M436" s="343"/>
      <c r="N436" s="343"/>
      <c r="O436" s="344"/>
      <c r="P436" s="342" t="s">
        <v>991</v>
      </c>
      <c r="Q436" s="343"/>
      <c r="R436" s="343"/>
      <c r="S436" s="343"/>
      <c r="T436" s="344"/>
      <c r="U436" s="606">
        <f>VLOOKUP("УТ-00042126",'Выгрузка из 1С'!$B$4:$K$2000,10,FALSE)</f>
        <v>49680</v>
      </c>
      <c r="V436" s="607"/>
      <c r="W436" s="607"/>
      <c r="X436" s="607"/>
      <c r="Y436" s="608"/>
      <c r="Z436" s="342" t="s">
        <v>1013</v>
      </c>
      <c r="AA436" s="343"/>
      <c r="AB436" s="343"/>
      <c r="AC436" s="343"/>
      <c r="AD436" s="344"/>
      <c r="AE436" s="606">
        <f>VLOOKUP("УТ-00042130",'Выгрузка из 1С'!$B$4:$K$2000,10,FALSE)</f>
        <v>52680</v>
      </c>
      <c r="AF436" s="607"/>
      <c r="AG436" s="607"/>
      <c r="AH436" s="607"/>
      <c r="AI436" s="608"/>
      <c r="AJ436" s="342" t="s">
        <v>1004</v>
      </c>
      <c r="AK436" s="343"/>
      <c r="AL436" s="343"/>
      <c r="AM436" s="343"/>
      <c r="AN436" s="344"/>
      <c r="AO436" s="606">
        <f>VLOOKUP("УТ-00042134",'Выгрузка из 1С'!$B$4:$K$2000,10,FALSE)</f>
        <v>79320</v>
      </c>
      <c r="AP436" s="607"/>
      <c r="AQ436" s="607"/>
      <c r="AR436" s="607"/>
      <c r="AS436" s="608"/>
      <c r="AW436" s="25"/>
      <c r="AX436" s="25"/>
    </row>
    <row r="437" spans="1:50" s="19" customFormat="1" ht="15" customHeight="1" x14ac:dyDescent="0.25">
      <c r="A437" s="272"/>
      <c r="B437" s="277"/>
      <c r="C437" s="609"/>
      <c r="D437" s="610"/>
      <c r="E437" s="610"/>
      <c r="F437" s="610"/>
      <c r="G437" s="610"/>
      <c r="H437" s="610"/>
      <c r="I437" s="610"/>
      <c r="J437" s="610"/>
      <c r="K437" s="611"/>
      <c r="L437" s="342"/>
      <c r="M437" s="343"/>
      <c r="N437" s="343"/>
      <c r="O437" s="344"/>
      <c r="P437" s="597"/>
      <c r="Q437" s="598"/>
      <c r="R437" s="598"/>
      <c r="S437" s="598"/>
      <c r="T437" s="599"/>
      <c r="U437" s="597"/>
      <c r="V437" s="598"/>
      <c r="W437" s="598"/>
      <c r="X437" s="598"/>
      <c r="Y437" s="599"/>
      <c r="Z437" s="597"/>
      <c r="AA437" s="598"/>
      <c r="AB437" s="598"/>
      <c r="AC437" s="598"/>
      <c r="AD437" s="599"/>
      <c r="AE437" s="597"/>
      <c r="AF437" s="598"/>
      <c r="AG437" s="598"/>
      <c r="AH437" s="598"/>
      <c r="AI437" s="599"/>
      <c r="AJ437" s="597"/>
      <c r="AK437" s="598"/>
      <c r="AL437" s="598"/>
      <c r="AM437" s="598"/>
      <c r="AN437" s="599"/>
      <c r="AO437" s="597"/>
      <c r="AP437" s="598"/>
      <c r="AQ437" s="598"/>
      <c r="AR437" s="598"/>
      <c r="AS437" s="599"/>
      <c r="AW437" s="25"/>
      <c r="AX437" s="25"/>
    </row>
    <row r="438" spans="1:50" s="19" customFormat="1" ht="15" customHeight="1" x14ac:dyDescent="0.25">
      <c r="A438" s="272"/>
      <c r="B438" s="277"/>
      <c r="C438" s="231" t="s">
        <v>250</v>
      </c>
      <c r="D438" s="275"/>
      <c r="E438" s="275"/>
      <c r="F438" s="275"/>
      <c r="G438" s="275"/>
      <c r="H438" s="275"/>
      <c r="I438" s="275"/>
      <c r="J438" s="275"/>
      <c r="K438" s="275"/>
      <c r="L438" s="284"/>
      <c r="M438" s="284"/>
      <c r="N438" s="284"/>
      <c r="O438" s="284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  <c r="Z438" s="275"/>
      <c r="AA438" s="275"/>
      <c r="AB438" s="275"/>
      <c r="AC438" s="275"/>
      <c r="AD438" s="275"/>
      <c r="AE438" s="275"/>
      <c r="AF438" s="275"/>
      <c r="AG438" s="275"/>
      <c r="AH438" s="275"/>
      <c r="AI438" s="275"/>
      <c r="AJ438" s="275"/>
      <c r="AK438" s="275"/>
      <c r="AL438" s="275"/>
      <c r="AM438" s="275"/>
      <c r="AN438" s="275"/>
      <c r="AO438" s="275"/>
      <c r="AP438" s="275"/>
      <c r="AQ438" s="275"/>
      <c r="AR438" s="275"/>
      <c r="AS438" s="276"/>
      <c r="AW438" s="25"/>
      <c r="AX438" s="25"/>
    </row>
    <row r="439" spans="1:50" s="19" customFormat="1" ht="23.25" customHeight="1" x14ac:dyDescent="0.25">
      <c r="A439" s="272"/>
      <c r="B439" s="277"/>
      <c r="C439" s="713" t="s">
        <v>973</v>
      </c>
      <c r="D439" s="714"/>
      <c r="E439" s="714"/>
      <c r="F439" s="714"/>
      <c r="G439" s="714"/>
      <c r="H439" s="714"/>
      <c r="I439" s="714"/>
      <c r="J439" s="714"/>
      <c r="K439" s="715"/>
      <c r="L439" s="710" t="s">
        <v>974</v>
      </c>
      <c r="M439" s="711"/>
      <c r="N439" s="711"/>
      <c r="O439" s="712"/>
      <c r="P439" s="597" t="s">
        <v>172</v>
      </c>
      <c r="Q439" s="598"/>
      <c r="R439" s="598"/>
      <c r="S439" s="598"/>
      <c r="T439" s="598"/>
      <c r="U439" s="598"/>
      <c r="V439" s="598"/>
      <c r="W439" s="598"/>
      <c r="X439" s="598"/>
      <c r="Y439" s="599"/>
      <c r="Z439" s="597" t="s">
        <v>173</v>
      </c>
      <c r="AA439" s="598"/>
      <c r="AB439" s="598"/>
      <c r="AC439" s="598"/>
      <c r="AD439" s="598"/>
      <c r="AE439" s="598"/>
      <c r="AF439" s="598"/>
      <c r="AG439" s="598"/>
      <c r="AH439" s="598"/>
      <c r="AI439" s="599"/>
      <c r="AJ439" s="597" t="s">
        <v>174</v>
      </c>
      <c r="AK439" s="598"/>
      <c r="AL439" s="598"/>
      <c r="AM439" s="598"/>
      <c r="AN439" s="598"/>
      <c r="AO439" s="598"/>
      <c r="AP439" s="598"/>
      <c r="AQ439" s="598"/>
      <c r="AR439" s="598"/>
      <c r="AS439" s="599"/>
      <c r="AW439" s="25"/>
      <c r="AX439" s="25"/>
    </row>
    <row r="440" spans="1:50" s="19" customFormat="1" ht="24.75" customHeight="1" x14ac:dyDescent="0.25">
      <c r="A440" s="7"/>
      <c r="B440" s="170"/>
      <c r="C440" s="716"/>
      <c r="D440" s="717"/>
      <c r="E440" s="717"/>
      <c r="F440" s="717"/>
      <c r="G440" s="717"/>
      <c r="H440" s="717"/>
      <c r="I440" s="717"/>
      <c r="J440" s="717"/>
      <c r="K440" s="718"/>
      <c r="L440" s="589"/>
      <c r="M440" s="590"/>
      <c r="N440" s="590"/>
      <c r="O440" s="591"/>
      <c r="P440" s="618" t="s">
        <v>975</v>
      </c>
      <c r="Q440" s="598"/>
      <c r="R440" s="598"/>
      <c r="S440" s="598"/>
      <c r="T440" s="599"/>
      <c r="U440" s="597" t="s">
        <v>976</v>
      </c>
      <c r="V440" s="598"/>
      <c r="W440" s="598"/>
      <c r="X440" s="598"/>
      <c r="Y440" s="599"/>
      <c r="Z440" s="618" t="s">
        <v>975</v>
      </c>
      <c r="AA440" s="598"/>
      <c r="AB440" s="598"/>
      <c r="AC440" s="598"/>
      <c r="AD440" s="599"/>
      <c r="AE440" s="597" t="s">
        <v>976</v>
      </c>
      <c r="AF440" s="598"/>
      <c r="AG440" s="598"/>
      <c r="AH440" s="598"/>
      <c r="AI440" s="599"/>
      <c r="AJ440" s="618" t="s">
        <v>975</v>
      </c>
      <c r="AK440" s="598"/>
      <c r="AL440" s="598"/>
      <c r="AM440" s="598"/>
      <c r="AN440" s="599"/>
      <c r="AO440" s="597" t="s">
        <v>976</v>
      </c>
      <c r="AP440" s="598"/>
      <c r="AQ440" s="598"/>
      <c r="AR440" s="598"/>
      <c r="AS440" s="599"/>
      <c r="AW440" s="25"/>
      <c r="AX440" s="25"/>
    </row>
    <row r="441" spans="1:50" x14ac:dyDescent="0.25">
      <c r="C441" s="609" t="s">
        <v>977</v>
      </c>
      <c r="D441" s="610"/>
      <c r="E441" s="610"/>
      <c r="F441" s="610"/>
      <c r="G441" s="610"/>
      <c r="H441" s="610"/>
      <c r="I441" s="610"/>
      <c r="J441" s="610"/>
      <c r="K441" s="611"/>
      <c r="L441" s="342">
        <v>155</v>
      </c>
      <c r="M441" s="343"/>
      <c r="N441" s="343"/>
      <c r="O441" s="344"/>
      <c r="P441" s="342" t="s">
        <v>986</v>
      </c>
      <c r="Q441" s="343"/>
      <c r="R441" s="343"/>
      <c r="S441" s="343"/>
      <c r="T441" s="344"/>
      <c r="U441" s="606">
        <f>VLOOKUP("УТ-00042143",'Выгрузка из 1С'!$B$4:$K$2000,10,FALSE)</f>
        <v>48840</v>
      </c>
      <c r="V441" s="607"/>
      <c r="W441" s="607"/>
      <c r="X441" s="607"/>
      <c r="Y441" s="608"/>
      <c r="Z441" s="342" t="s">
        <v>996</v>
      </c>
      <c r="AA441" s="343"/>
      <c r="AB441" s="343"/>
      <c r="AC441" s="343"/>
      <c r="AD441" s="344"/>
      <c r="AE441" s="606">
        <f>VLOOKUP("УТ-00042154",'Выгрузка из 1С'!$B$4:$K$2000,10,FALSE)</f>
        <v>51600</v>
      </c>
      <c r="AF441" s="607"/>
      <c r="AG441" s="607"/>
      <c r="AH441" s="607"/>
      <c r="AI441" s="608"/>
      <c r="AJ441" s="342" t="s">
        <v>997</v>
      </c>
      <c r="AK441" s="343"/>
      <c r="AL441" s="343"/>
      <c r="AM441" s="343"/>
      <c r="AN441" s="344"/>
      <c r="AO441" s="606">
        <f>VLOOKUP("УТ-00042170",'Выгрузка из 1С'!$B$4:$K$2000,10,FALSE)</f>
        <v>77400</v>
      </c>
      <c r="AP441" s="607"/>
      <c r="AQ441" s="607"/>
      <c r="AR441" s="607"/>
      <c r="AS441" s="608"/>
    </row>
    <row r="442" spans="1:50" x14ac:dyDescent="0.25">
      <c r="C442" s="609" t="s">
        <v>978</v>
      </c>
      <c r="D442" s="610"/>
      <c r="E442" s="610"/>
      <c r="F442" s="610"/>
      <c r="G442" s="610"/>
      <c r="H442" s="610"/>
      <c r="I442" s="610"/>
      <c r="J442" s="610"/>
      <c r="K442" s="611"/>
      <c r="L442" s="342">
        <v>155</v>
      </c>
      <c r="M442" s="343"/>
      <c r="N442" s="343"/>
      <c r="O442" s="344"/>
      <c r="P442" s="342" t="s">
        <v>987</v>
      </c>
      <c r="Q442" s="343"/>
      <c r="R442" s="343"/>
      <c r="S442" s="343"/>
      <c r="T442" s="344"/>
      <c r="U442" s="606">
        <f>VLOOKUP("УТ-00042144",'Выгрузка из 1С'!$B$4:$K$2000,10,FALSE)</f>
        <v>48840</v>
      </c>
      <c r="V442" s="607"/>
      <c r="W442" s="607"/>
      <c r="X442" s="607"/>
      <c r="Y442" s="608"/>
      <c r="Z442" s="342" t="s">
        <v>999</v>
      </c>
      <c r="AA442" s="343"/>
      <c r="AB442" s="343"/>
      <c r="AC442" s="343"/>
      <c r="AD442" s="344"/>
      <c r="AE442" s="606">
        <f>VLOOKUP("УТ-00042155",'Выгрузка из 1С'!$B$4:$K$2000,10,FALSE)</f>
        <v>51600</v>
      </c>
      <c r="AF442" s="607"/>
      <c r="AG442" s="607"/>
      <c r="AH442" s="607"/>
      <c r="AI442" s="608"/>
      <c r="AJ442" s="342" t="s">
        <v>998</v>
      </c>
      <c r="AK442" s="343"/>
      <c r="AL442" s="343"/>
      <c r="AM442" s="343"/>
      <c r="AN442" s="344"/>
      <c r="AO442" s="606">
        <f>VLOOKUP("УТ-00042171",'Выгрузка из 1С'!$B$4:$K$2000,10,FALSE)</f>
        <v>77400</v>
      </c>
      <c r="AP442" s="607"/>
      <c r="AQ442" s="607"/>
      <c r="AR442" s="607"/>
      <c r="AS442" s="608"/>
    </row>
    <row r="443" spans="1:50" x14ac:dyDescent="0.25">
      <c r="C443" s="612" t="s">
        <v>979</v>
      </c>
      <c r="D443" s="613"/>
      <c r="E443" s="613"/>
      <c r="F443" s="613"/>
      <c r="G443" s="613"/>
      <c r="H443" s="613"/>
      <c r="I443" s="613"/>
      <c r="J443" s="613"/>
      <c r="K443" s="614"/>
      <c r="L443" s="342">
        <v>200</v>
      </c>
      <c r="M443" s="343"/>
      <c r="N443" s="343"/>
      <c r="O443" s="344"/>
      <c r="P443" s="342" t="s">
        <v>988</v>
      </c>
      <c r="Q443" s="343"/>
      <c r="R443" s="343"/>
      <c r="S443" s="343"/>
      <c r="T443" s="344"/>
      <c r="U443" s="606">
        <f>VLOOKUP("УТ-00042145",'Выгрузка из 1С'!$B$4:$K$2000,10,FALSE)</f>
        <v>51360</v>
      </c>
      <c r="V443" s="607"/>
      <c r="W443" s="607"/>
      <c r="X443" s="607"/>
      <c r="Y443" s="608"/>
      <c r="Z443" s="342" t="s">
        <v>1000</v>
      </c>
      <c r="AA443" s="343"/>
      <c r="AB443" s="343"/>
      <c r="AC443" s="343"/>
      <c r="AD443" s="344"/>
      <c r="AE443" s="606">
        <f>VLOOKUP("УТ-00042156",'Выгрузка из 1С'!$B$4:$K$2000,10,FALSE)</f>
        <v>54360</v>
      </c>
      <c r="AF443" s="607"/>
      <c r="AG443" s="607"/>
      <c r="AH443" s="607"/>
      <c r="AI443" s="608"/>
      <c r="AJ443" s="342" t="s">
        <v>1001</v>
      </c>
      <c r="AK443" s="343"/>
      <c r="AL443" s="343"/>
      <c r="AM443" s="343"/>
      <c r="AN443" s="344"/>
      <c r="AO443" s="606">
        <f>VLOOKUP("УТ-00042172",'Выгрузка из 1С'!$B$4:$K$2000,10,FALSE)</f>
        <v>81600</v>
      </c>
      <c r="AP443" s="607"/>
      <c r="AQ443" s="607"/>
      <c r="AR443" s="607"/>
      <c r="AS443" s="608"/>
    </row>
    <row r="444" spans="1:50" x14ac:dyDescent="0.25">
      <c r="C444" s="609" t="s">
        <v>980</v>
      </c>
      <c r="D444" s="610"/>
      <c r="E444" s="610"/>
      <c r="F444" s="610"/>
      <c r="G444" s="610"/>
      <c r="H444" s="610"/>
      <c r="I444" s="610"/>
      <c r="J444" s="610"/>
      <c r="K444" s="611"/>
      <c r="L444" s="342">
        <v>200</v>
      </c>
      <c r="M444" s="343"/>
      <c r="N444" s="343"/>
      <c r="O444" s="344"/>
      <c r="P444" s="342" t="s">
        <v>989</v>
      </c>
      <c r="Q444" s="343"/>
      <c r="R444" s="343"/>
      <c r="S444" s="343"/>
      <c r="T444" s="344"/>
      <c r="U444" s="606">
        <f>VLOOKUP("УТ-00042146",'Выгрузка из 1С'!$B$4:$K$2000,10,FALSE)</f>
        <v>51360</v>
      </c>
      <c r="V444" s="607"/>
      <c r="W444" s="607"/>
      <c r="X444" s="607"/>
      <c r="Y444" s="608"/>
      <c r="Z444" s="342" t="s">
        <v>1015</v>
      </c>
      <c r="AA444" s="343"/>
      <c r="AB444" s="343"/>
      <c r="AC444" s="343"/>
      <c r="AD444" s="344"/>
      <c r="AE444" s="606">
        <f>VLOOKUP("УТ-00042157",'Выгрузка из 1С'!$B$4:$K$2000,10,FALSE)</f>
        <v>54360</v>
      </c>
      <c r="AF444" s="607"/>
      <c r="AG444" s="607"/>
      <c r="AH444" s="607"/>
      <c r="AI444" s="608"/>
      <c r="AJ444" s="342" t="s">
        <v>1002</v>
      </c>
      <c r="AK444" s="343"/>
      <c r="AL444" s="343"/>
      <c r="AM444" s="343"/>
      <c r="AN444" s="344"/>
      <c r="AO444" s="606">
        <f>VLOOKUP("УТ-00042173",'Выгрузка из 1С'!$B$4:$K$2000,10,FALSE)</f>
        <v>81600</v>
      </c>
      <c r="AP444" s="607"/>
      <c r="AQ444" s="607"/>
      <c r="AR444" s="607"/>
      <c r="AS444" s="608"/>
    </row>
    <row r="445" spans="1:50" x14ac:dyDescent="0.25">
      <c r="C445" s="609" t="s">
        <v>981</v>
      </c>
      <c r="D445" s="610"/>
      <c r="E445" s="610"/>
      <c r="F445" s="610"/>
      <c r="G445" s="610"/>
      <c r="H445" s="610"/>
      <c r="I445" s="610"/>
      <c r="J445" s="610"/>
      <c r="K445" s="611"/>
      <c r="L445" s="342">
        <v>200</v>
      </c>
      <c r="M445" s="343"/>
      <c r="N445" s="343"/>
      <c r="O445" s="344"/>
      <c r="P445" s="342" t="s">
        <v>990</v>
      </c>
      <c r="Q445" s="343"/>
      <c r="R445" s="343"/>
      <c r="S445" s="343"/>
      <c r="T445" s="344"/>
      <c r="U445" s="606">
        <f>VLOOKUP("УТ-00042147",'Выгрузка из 1С'!$B$4:$K$2000,10,FALSE)</f>
        <v>52200</v>
      </c>
      <c r="V445" s="607"/>
      <c r="W445" s="607"/>
      <c r="X445" s="607"/>
      <c r="Y445" s="608"/>
      <c r="Z445" s="342" t="s">
        <v>1014</v>
      </c>
      <c r="AA445" s="343"/>
      <c r="AB445" s="343"/>
      <c r="AC445" s="343"/>
      <c r="AD445" s="344"/>
      <c r="AE445" s="606">
        <f>VLOOKUP("УТ-00042158",'Выгрузка из 1С'!$B$4:$K$2000,10,FALSE)</f>
        <v>55320</v>
      </c>
      <c r="AF445" s="607"/>
      <c r="AG445" s="607"/>
      <c r="AH445" s="607"/>
      <c r="AI445" s="608"/>
      <c r="AJ445" s="342" t="s">
        <v>1003</v>
      </c>
      <c r="AK445" s="343"/>
      <c r="AL445" s="343"/>
      <c r="AM445" s="343"/>
      <c r="AN445" s="344"/>
      <c r="AO445" s="606">
        <f>VLOOKUP("УТ-00042174",'Выгрузка из 1С'!$B$4:$K$2000,10,FALSE)</f>
        <v>82920</v>
      </c>
      <c r="AP445" s="607"/>
      <c r="AQ445" s="607"/>
      <c r="AR445" s="607"/>
      <c r="AS445" s="608"/>
    </row>
    <row r="446" spans="1:50" x14ac:dyDescent="0.25">
      <c r="C446" s="609" t="s">
        <v>982</v>
      </c>
      <c r="D446" s="610"/>
      <c r="E446" s="610"/>
      <c r="F446" s="610"/>
      <c r="G446" s="610"/>
      <c r="H446" s="610"/>
      <c r="I446" s="610"/>
      <c r="J446" s="610"/>
      <c r="K446" s="611"/>
      <c r="L446" s="342">
        <v>200</v>
      </c>
      <c r="M446" s="343"/>
      <c r="N446" s="343"/>
      <c r="O446" s="344"/>
      <c r="P446" s="342" t="s">
        <v>991</v>
      </c>
      <c r="Q446" s="343"/>
      <c r="R446" s="343"/>
      <c r="S446" s="343"/>
      <c r="T446" s="344"/>
      <c r="U446" s="606">
        <f>VLOOKUP("00-00000006",'Выгрузка из 1С'!$B$4:$K$2000,10,FALSE)</f>
        <v>52200</v>
      </c>
      <c r="V446" s="607"/>
      <c r="W446" s="607"/>
      <c r="X446" s="607"/>
      <c r="Y446" s="608"/>
      <c r="Z446" s="342" t="s">
        <v>1013</v>
      </c>
      <c r="AA446" s="343"/>
      <c r="AB446" s="343"/>
      <c r="AC446" s="343"/>
      <c r="AD446" s="344"/>
      <c r="AE446" s="606">
        <f>VLOOKUP("УТ-00042159",'Выгрузка из 1С'!$B$4:$K$2000,10,FALSE)</f>
        <v>55320</v>
      </c>
      <c r="AF446" s="607"/>
      <c r="AG446" s="607"/>
      <c r="AH446" s="607"/>
      <c r="AI446" s="608"/>
      <c r="AJ446" s="342" t="s">
        <v>1004</v>
      </c>
      <c r="AK446" s="343"/>
      <c r="AL446" s="343"/>
      <c r="AM446" s="343"/>
      <c r="AN446" s="344"/>
      <c r="AO446" s="606">
        <f>VLOOKUP("УТ-00042175",'Выгрузка из 1С'!$B$4:$K$2000,10,FALSE)</f>
        <v>82920</v>
      </c>
      <c r="AP446" s="607"/>
      <c r="AQ446" s="607"/>
      <c r="AR446" s="607"/>
      <c r="AS446" s="608"/>
    </row>
    <row r="447" spans="1:50" x14ac:dyDescent="0.25">
      <c r="C447" s="612" t="s">
        <v>983</v>
      </c>
      <c r="D447" s="613"/>
      <c r="E447" s="613"/>
      <c r="F447" s="613"/>
      <c r="G447" s="613"/>
      <c r="H447" s="613"/>
      <c r="I447" s="613"/>
      <c r="J447" s="613"/>
      <c r="K447" s="614"/>
      <c r="L447" s="342">
        <v>200</v>
      </c>
      <c r="M447" s="343"/>
      <c r="N447" s="343"/>
      <c r="O447" s="344"/>
      <c r="P447" s="342" t="s">
        <v>992</v>
      </c>
      <c r="Q447" s="343"/>
      <c r="R447" s="343"/>
      <c r="S447" s="343"/>
      <c r="T447" s="344"/>
      <c r="U447" s="606">
        <f>VLOOKUP("УТ-00041863",'Выгрузка из 1С'!$B$4:$K$2000,10,FALSE)</f>
        <v>54360</v>
      </c>
      <c r="V447" s="607"/>
      <c r="W447" s="607"/>
      <c r="X447" s="607"/>
      <c r="Y447" s="608"/>
      <c r="Z447" s="342" t="s">
        <v>1012</v>
      </c>
      <c r="AA447" s="343"/>
      <c r="AB447" s="343"/>
      <c r="AC447" s="343"/>
      <c r="AD447" s="344"/>
      <c r="AE447" s="606">
        <f>VLOOKUP("УТ-00042160",'Выгрузка из 1С'!$B$4:$K$2000,10,FALSE)</f>
        <v>57600</v>
      </c>
      <c r="AF447" s="607"/>
      <c r="AG447" s="607"/>
      <c r="AH447" s="607"/>
      <c r="AI447" s="608"/>
      <c r="AJ447" s="342" t="s">
        <v>1005</v>
      </c>
      <c r="AK447" s="343"/>
      <c r="AL447" s="343"/>
      <c r="AM447" s="343"/>
      <c r="AN447" s="344"/>
      <c r="AO447" s="606">
        <f>VLOOKUP("УТ-00042176",'Выгрузка из 1С'!$B$4:$K$2000,10,FALSE)</f>
        <v>86520</v>
      </c>
      <c r="AP447" s="607"/>
      <c r="AQ447" s="607"/>
      <c r="AR447" s="607"/>
      <c r="AS447" s="608"/>
    </row>
    <row r="448" spans="1:50" x14ac:dyDescent="0.25">
      <c r="C448" s="609" t="s">
        <v>984</v>
      </c>
      <c r="D448" s="610"/>
      <c r="E448" s="610"/>
      <c r="F448" s="610"/>
      <c r="G448" s="610"/>
      <c r="H448" s="610"/>
      <c r="I448" s="610"/>
      <c r="J448" s="610"/>
      <c r="K448" s="611"/>
      <c r="L448" s="342">
        <v>200</v>
      </c>
      <c r="M448" s="343"/>
      <c r="N448" s="343"/>
      <c r="O448" s="344"/>
      <c r="P448" s="342" t="s">
        <v>993</v>
      </c>
      <c r="Q448" s="343"/>
      <c r="R448" s="343"/>
      <c r="S448" s="343"/>
      <c r="T448" s="344"/>
      <c r="U448" s="606">
        <f>VLOOKUP("УТ-00041916",'Выгрузка из 1С'!$B$4:$K$2000,10,FALSE)</f>
        <v>54360</v>
      </c>
      <c r="V448" s="607"/>
      <c r="W448" s="607"/>
      <c r="X448" s="607"/>
      <c r="Y448" s="608"/>
      <c r="Z448" s="342" t="s">
        <v>1011</v>
      </c>
      <c r="AA448" s="343"/>
      <c r="AB448" s="343"/>
      <c r="AC448" s="343"/>
      <c r="AD448" s="344"/>
      <c r="AE448" s="606">
        <f>VLOOKUP("УТ-00042161",'Выгрузка из 1С'!$B$4:$K$2000,10,FALSE)</f>
        <v>57600</v>
      </c>
      <c r="AF448" s="607"/>
      <c r="AG448" s="607"/>
      <c r="AH448" s="607"/>
      <c r="AI448" s="608"/>
      <c r="AJ448" s="342" t="s">
        <v>1006</v>
      </c>
      <c r="AK448" s="343"/>
      <c r="AL448" s="343"/>
      <c r="AM448" s="343"/>
      <c r="AN448" s="344"/>
      <c r="AO448" s="606">
        <f>VLOOKUP("УТ-00042177",'Выгрузка из 1С'!$B$4:$K$2000,10,FALSE)</f>
        <v>86520</v>
      </c>
      <c r="AP448" s="607"/>
      <c r="AQ448" s="607"/>
      <c r="AR448" s="607"/>
      <c r="AS448" s="608"/>
    </row>
    <row r="449" spans="1:50" x14ac:dyDescent="0.25">
      <c r="C449" s="615" t="s">
        <v>985</v>
      </c>
      <c r="D449" s="616"/>
      <c r="E449" s="616"/>
      <c r="F449" s="616"/>
      <c r="G449" s="616"/>
      <c r="H449" s="616"/>
      <c r="I449" s="616"/>
      <c r="J449" s="616"/>
      <c r="K449" s="617"/>
      <c r="L449" s="342">
        <v>200</v>
      </c>
      <c r="M449" s="343"/>
      <c r="N449" s="343"/>
      <c r="O449" s="344"/>
      <c r="P449" s="342" t="s">
        <v>994</v>
      </c>
      <c r="Q449" s="343"/>
      <c r="R449" s="343"/>
      <c r="S449" s="343"/>
      <c r="T449" s="344"/>
      <c r="U449" s="606">
        <f>VLOOKUP("УТ-00042015",'Выгрузка из 1С'!$B$4:$K$2000,10,FALSE)</f>
        <v>57120</v>
      </c>
      <c r="V449" s="607"/>
      <c r="W449" s="607"/>
      <c r="X449" s="607"/>
      <c r="Y449" s="608"/>
      <c r="Z449" s="342" t="s">
        <v>1010</v>
      </c>
      <c r="AA449" s="343"/>
      <c r="AB449" s="343"/>
      <c r="AC449" s="343"/>
      <c r="AD449" s="344"/>
      <c r="AE449" s="606">
        <f>VLOOKUP("УТ-00042162",'Выгрузка из 1С'!$B$4:$K$2000,10,FALSE)</f>
        <v>60480</v>
      </c>
      <c r="AF449" s="607"/>
      <c r="AG449" s="607"/>
      <c r="AH449" s="607"/>
      <c r="AI449" s="608"/>
      <c r="AJ449" s="342" t="s">
        <v>1007</v>
      </c>
      <c r="AK449" s="343"/>
      <c r="AL449" s="343"/>
      <c r="AM449" s="343"/>
      <c r="AN449" s="344"/>
      <c r="AO449" s="606">
        <f>VLOOKUP("УТ-00042178",'Выгрузка из 1С'!$B$4:$K$2000,10,FALSE)</f>
        <v>91080</v>
      </c>
      <c r="AP449" s="607"/>
      <c r="AQ449" s="607"/>
      <c r="AR449" s="607"/>
      <c r="AS449" s="608"/>
    </row>
    <row r="450" spans="1:50" x14ac:dyDescent="0.25">
      <c r="C450" s="615" t="s">
        <v>1017</v>
      </c>
      <c r="D450" s="616"/>
      <c r="E450" s="616"/>
      <c r="F450" s="616"/>
      <c r="G450" s="616"/>
      <c r="H450" s="616"/>
      <c r="I450" s="616"/>
      <c r="J450" s="616"/>
      <c r="K450" s="617"/>
      <c r="L450" s="342">
        <v>200</v>
      </c>
      <c r="M450" s="343"/>
      <c r="N450" s="343"/>
      <c r="O450" s="344"/>
      <c r="P450" s="342" t="s">
        <v>995</v>
      </c>
      <c r="Q450" s="343"/>
      <c r="R450" s="343"/>
      <c r="S450" s="343"/>
      <c r="T450" s="344"/>
      <c r="U450" s="606">
        <f>VLOOKUP("00-00034904",'Выгрузка из 1С'!$B$4:$K$2000,10,FALSE)</f>
        <v>57120</v>
      </c>
      <c r="V450" s="607"/>
      <c r="W450" s="607"/>
      <c r="X450" s="607"/>
      <c r="Y450" s="608"/>
      <c r="Z450" s="342" t="s">
        <v>1009</v>
      </c>
      <c r="AA450" s="343"/>
      <c r="AB450" s="343"/>
      <c r="AC450" s="343"/>
      <c r="AD450" s="344"/>
      <c r="AE450" s="606">
        <f>VLOOKUP("УТ-00042163",'Выгрузка из 1С'!$B$4:$K$2000,10,FALSE)</f>
        <v>60480</v>
      </c>
      <c r="AF450" s="607"/>
      <c r="AG450" s="607"/>
      <c r="AH450" s="607"/>
      <c r="AI450" s="608"/>
      <c r="AJ450" s="342" t="s">
        <v>1008</v>
      </c>
      <c r="AK450" s="343"/>
      <c r="AL450" s="343"/>
      <c r="AM450" s="343"/>
      <c r="AN450" s="344"/>
      <c r="AO450" s="606">
        <f>VLOOKUP("УТ-00042179",'Выгрузка из 1С'!$B$4:$K$2000,10,FALSE)</f>
        <v>91080</v>
      </c>
      <c r="AP450" s="607"/>
      <c r="AQ450" s="607"/>
      <c r="AR450" s="607"/>
      <c r="AS450" s="608"/>
    </row>
    <row r="451" spans="1:50" x14ac:dyDescent="0.25">
      <c r="C451" s="615" t="s">
        <v>1018</v>
      </c>
      <c r="D451" s="616"/>
      <c r="E451" s="616"/>
      <c r="F451" s="616"/>
      <c r="G451" s="616"/>
      <c r="H451" s="616"/>
      <c r="I451" s="616"/>
      <c r="J451" s="616"/>
      <c r="K451" s="617"/>
      <c r="L451" s="342">
        <v>200</v>
      </c>
      <c r="M451" s="343"/>
      <c r="N451" s="343"/>
      <c r="O451" s="344"/>
      <c r="P451" s="342" t="s">
        <v>1024</v>
      </c>
      <c r="Q451" s="343"/>
      <c r="R451" s="343"/>
      <c r="S451" s="343"/>
      <c r="T451" s="344"/>
      <c r="U451" s="606">
        <f>VLOOKUP("УТ-00042148",'Выгрузка из 1С'!$B$4:$K$2000,10,FALSE)</f>
        <v>66840</v>
      </c>
      <c r="V451" s="607"/>
      <c r="W451" s="607"/>
      <c r="X451" s="607"/>
      <c r="Y451" s="608"/>
      <c r="Z451" s="342" t="s">
        <v>1030</v>
      </c>
      <c r="AA451" s="343"/>
      <c r="AB451" s="343"/>
      <c r="AC451" s="343"/>
      <c r="AD451" s="344"/>
      <c r="AE451" s="606">
        <f>VLOOKUP("УТ-00042164",'Выгрузка из 1С'!$B$4:$K$2000,10,FALSE)</f>
        <v>71040</v>
      </c>
      <c r="AF451" s="607"/>
      <c r="AG451" s="607"/>
      <c r="AH451" s="607"/>
      <c r="AI451" s="608"/>
      <c r="AJ451" s="342" t="s">
        <v>1036</v>
      </c>
      <c r="AK451" s="343"/>
      <c r="AL451" s="343"/>
      <c r="AM451" s="343"/>
      <c r="AN451" s="344"/>
      <c r="AO451" s="606">
        <f>VLOOKUP("УТ-00042180",'Выгрузка из 1С'!$B$4:$K$2000,10,FALSE)</f>
        <v>106800</v>
      </c>
      <c r="AP451" s="607"/>
      <c r="AQ451" s="607"/>
      <c r="AR451" s="607"/>
      <c r="AS451" s="608"/>
    </row>
    <row r="452" spans="1:50" x14ac:dyDescent="0.25">
      <c r="C452" s="615" t="s">
        <v>1019</v>
      </c>
      <c r="D452" s="616"/>
      <c r="E452" s="616"/>
      <c r="F452" s="616"/>
      <c r="G452" s="616"/>
      <c r="H452" s="616"/>
      <c r="I452" s="616"/>
      <c r="J452" s="616"/>
      <c r="K452" s="617"/>
      <c r="L452" s="342">
        <v>200</v>
      </c>
      <c r="M452" s="343"/>
      <c r="N452" s="343"/>
      <c r="O452" s="344"/>
      <c r="P452" s="342" t="s">
        <v>1025</v>
      </c>
      <c r="Q452" s="343"/>
      <c r="R452" s="343"/>
      <c r="S452" s="343"/>
      <c r="T452" s="344"/>
      <c r="U452" s="606">
        <f>VLOOKUP("УТ-00042677",'Выгрузка из 1С'!$B$4:$K$2000,10,FALSE)</f>
        <v>66840</v>
      </c>
      <c r="V452" s="607"/>
      <c r="W452" s="607"/>
      <c r="X452" s="607"/>
      <c r="Y452" s="608"/>
      <c r="Z452" s="342" t="s">
        <v>1031</v>
      </c>
      <c r="AA452" s="343"/>
      <c r="AB452" s="343"/>
      <c r="AC452" s="343"/>
      <c r="AD452" s="344"/>
      <c r="AE452" s="606">
        <f>VLOOKUP("УТ-00042678",'Выгрузка из 1С'!$B$4:$K$2000,10,FALSE)</f>
        <v>71040</v>
      </c>
      <c r="AF452" s="607"/>
      <c r="AG452" s="607"/>
      <c r="AH452" s="607"/>
      <c r="AI452" s="608"/>
      <c r="AJ452" s="342" t="s">
        <v>1037</v>
      </c>
      <c r="AK452" s="343"/>
      <c r="AL452" s="343"/>
      <c r="AM452" s="343"/>
      <c r="AN452" s="344"/>
      <c r="AO452" s="606">
        <f>VLOOKUP("УТ-00042679",'Выгрузка из 1С'!$B$4:$K$2000,10,FALSE)</f>
        <v>106800</v>
      </c>
      <c r="AP452" s="607"/>
      <c r="AQ452" s="607"/>
      <c r="AR452" s="607"/>
      <c r="AS452" s="608"/>
    </row>
    <row r="453" spans="1:50" x14ac:dyDescent="0.25">
      <c r="C453" s="615" t="s">
        <v>1020</v>
      </c>
      <c r="D453" s="616"/>
      <c r="E453" s="616"/>
      <c r="F453" s="616"/>
      <c r="G453" s="616"/>
      <c r="H453" s="616"/>
      <c r="I453" s="616"/>
      <c r="J453" s="616"/>
      <c r="K453" s="617"/>
      <c r="L453" s="342">
        <v>200</v>
      </c>
      <c r="M453" s="343"/>
      <c r="N453" s="343"/>
      <c r="O453" s="344"/>
      <c r="P453" s="342" t="s">
        <v>1026</v>
      </c>
      <c r="Q453" s="343"/>
      <c r="R453" s="343"/>
      <c r="S453" s="343"/>
      <c r="T453" s="344"/>
      <c r="U453" s="606">
        <f>VLOOKUP("УТ-00042149",'Выгрузка из 1С'!$B$4:$K$2000,10,FALSE)</f>
        <v>69360</v>
      </c>
      <c r="V453" s="607"/>
      <c r="W453" s="607"/>
      <c r="X453" s="607"/>
      <c r="Y453" s="608"/>
      <c r="Z453" s="342" t="s">
        <v>1032</v>
      </c>
      <c r="AA453" s="343"/>
      <c r="AB453" s="343"/>
      <c r="AC453" s="343"/>
      <c r="AD453" s="344"/>
      <c r="AE453" s="606">
        <f>VLOOKUP("УТ-00042165",'Выгрузка из 1С'!$B$4:$K$2000,10,FALSE)</f>
        <v>73560</v>
      </c>
      <c r="AF453" s="607"/>
      <c r="AG453" s="607"/>
      <c r="AH453" s="607"/>
      <c r="AI453" s="608"/>
      <c r="AJ453" s="342" t="s">
        <v>1038</v>
      </c>
      <c r="AK453" s="343"/>
      <c r="AL453" s="343"/>
      <c r="AM453" s="343"/>
      <c r="AN453" s="344"/>
      <c r="AO453" s="606">
        <f>VLOOKUP("УТ-00042181",'Выгрузка из 1С'!$B$4:$K$2000,10,FALSE)</f>
        <v>111000</v>
      </c>
      <c r="AP453" s="607"/>
      <c r="AQ453" s="607"/>
      <c r="AR453" s="607"/>
      <c r="AS453" s="608"/>
    </row>
    <row r="454" spans="1:50" x14ac:dyDescent="0.25">
      <c r="C454" s="615" t="s">
        <v>1021</v>
      </c>
      <c r="D454" s="616"/>
      <c r="E454" s="616"/>
      <c r="F454" s="616"/>
      <c r="G454" s="616"/>
      <c r="H454" s="616"/>
      <c r="I454" s="616"/>
      <c r="J454" s="616"/>
      <c r="K454" s="617"/>
      <c r="L454" s="342">
        <v>200</v>
      </c>
      <c r="M454" s="343"/>
      <c r="N454" s="343"/>
      <c r="O454" s="344"/>
      <c r="P454" s="342" t="s">
        <v>1027</v>
      </c>
      <c r="Q454" s="343"/>
      <c r="R454" s="343"/>
      <c r="S454" s="343"/>
      <c r="T454" s="344"/>
      <c r="U454" s="606">
        <f>VLOOKUP("УТ-00042686",'Выгрузка из 1С'!$B$4:$K$2000,10,FALSE)</f>
        <v>69360</v>
      </c>
      <c r="V454" s="607"/>
      <c r="W454" s="607"/>
      <c r="X454" s="607"/>
      <c r="Y454" s="608"/>
      <c r="Z454" s="342" t="s">
        <v>1033</v>
      </c>
      <c r="AA454" s="343"/>
      <c r="AB454" s="343"/>
      <c r="AC454" s="343"/>
      <c r="AD454" s="344"/>
      <c r="AE454" s="606">
        <f>VLOOKUP("УТ-00042687",'Выгрузка из 1С'!$B$4:$K$2000,10,FALSE)</f>
        <v>73560</v>
      </c>
      <c r="AF454" s="607"/>
      <c r="AG454" s="607"/>
      <c r="AH454" s="607"/>
      <c r="AI454" s="608"/>
      <c r="AJ454" s="342" t="s">
        <v>1039</v>
      </c>
      <c r="AK454" s="343"/>
      <c r="AL454" s="343"/>
      <c r="AM454" s="343"/>
      <c r="AN454" s="344"/>
      <c r="AO454" s="606">
        <f>VLOOKUP("УТ-00042688",'Выгрузка из 1С'!$B$4:$K$2000,10,FALSE)</f>
        <v>111000</v>
      </c>
      <c r="AP454" s="607"/>
      <c r="AQ454" s="607"/>
      <c r="AR454" s="607"/>
      <c r="AS454" s="608"/>
    </row>
    <row r="455" spans="1:50" x14ac:dyDescent="0.25">
      <c r="C455" s="615" t="s">
        <v>1022</v>
      </c>
      <c r="D455" s="616"/>
      <c r="E455" s="616"/>
      <c r="F455" s="616"/>
      <c r="G455" s="616"/>
      <c r="H455" s="616"/>
      <c r="I455" s="616"/>
      <c r="J455" s="616"/>
      <c r="K455" s="617"/>
      <c r="L455" s="342">
        <v>250</v>
      </c>
      <c r="M455" s="343"/>
      <c r="N455" s="343"/>
      <c r="O455" s="344"/>
      <c r="P455" s="342" t="s">
        <v>1028</v>
      </c>
      <c r="Q455" s="343"/>
      <c r="R455" s="343"/>
      <c r="S455" s="343"/>
      <c r="T455" s="344"/>
      <c r="U455" s="606">
        <f>VLOOKUP("УТ-00042150",'Выгрузка из 1С'!$B$4:$K$2000,10,FALSE)</f>
        <v>73920</v>
      </c>
      <c r="V455" s="607"/>
      <c r="W455" s="607"/>
      <c r="X455" s="607"/>
      <c r="Y455" s="608"/>
      <c r="Z455" s="342" t="s">
        <v>1034</v>
      </c>
      <c r="AA455" s="343"/>
      <c r="AB455" s="343"/>
      <c r="AC455" s="343"/>
      <c r="AD455" s="344"/>
      <c r="AE455" s="606">
        <f>VLOOKUP("УТ-00042166",'Выгрузка из 1С'!$B$4:$K$2000,10,FALSE)</f>
        <v>78360</v>
      </c>
      <c r="AF455" s="607"/>
      <c r="AG455" s="607"/>
      <c r="AH455" s="607"/>
      <c r="AI455" s="608"/>
      <c r="AJ455" s="342" t="s">
        <v>1040</v>
      </c>
      <c r="AK455" s="343"/>
      <c r="AL455" s="343"/>
      <c r="AM455" s="343"/>
      <c r="AN455" s="344"/>
      <c r="AO455" s="606">
        <f>VLOOKUP("УТ-00042182",'Выгрузка из 1С'!$B$4:$K$2000,10,FALSE)</f>
        <v>118080</v>
      </c>
      <c r="AP455" s="607"/>
      <c r="AQ455" s="607"/>
      <c r="AR455" s="607"/>
      <c r="AS455" s="608"/>
    </row>
    <row r="456" spans="1:50" x14ac:dyDescent="0.25">
      <c r="C456" s="615" t="s">
        <v>1023</v>
      </c>
      <c r="D456" s="616"/>
      <c r="E456" s="616"/>
      <c r="F456" s="616"/>
      <c r="G456" s="616"/>
      <c r="H456" s="616"/>
      <c r="I456" s="616"/>
      <c r="J456" s="616"/>
      <c r="K456" s="617"/>
      <c r="L456" s="342">
        <v>250</v>
      </c>
      <c r="M456" s="343"/>
      <c r="N456" s="343"/>
      <c r="O456" s="344"/>
      <c r="P456" s="342" t="s">
        <v>1029</v>
      </c>
      <c r="Q456" s="343"/>
      <c r="R456" s="343"/>
      <c r="S456" s="343"/>
      <c r="T456" s="344"/>
      <c r="U456" s="606">
        <f>VLOOKUP("УТ-00042151",'Выгрузка из 1С'!$B$4:$K$2000,10,FALSE)</f>
        <v>73920</v>
      </c>
      <c r="V456" s="607"/>
      <c r="W456" s="607"/>
      <c r="X456" s="607"/>
      <c r="Y456" s="608"/>
      <c r="Z456" s="342" t="s">
        <v>1035</v>
      </c>
      <c r="AA456" s="343"/>
      <c r="AB456" s="343"/>
      <c r="AC456" s="343"/>
      <c r="AD456" s="344"/>
      <c r="AE456" s="606">
        <f>VLOOKUP("УТ-00042167",'Выгрузка из 1С'!$B$4:$K$2000,10,FALSE)</f>
        <v>78360</v>
      </c>
      <c r="AF456" s="607"/>
      <c r="AG456" s="607"/>
      <c r="AH456" s="607"/>
      <c r="AI456" s="608"/>
      <c r="AJ456" s="342" t="s">
        <v>1041</v>
      </c>
      <c r="AK456" s="343"/>
      <c r="AL456" s="343"/>
      <c r="AM456" s="343"/>
      <c r="AN456" s="344"/>
      <c r="AO456" s="606">
        <f>VLOOKUP("УТ-00042183",'Выгрузка из 1С'!$B$4:$K$2000,10,FALSE)</f>
        <v>118080</v>
      </c>
      <c r="AP456" s="607"/>
      <c r="AQ456" s="607"/>
      <c r="AR456" s="607"/>
      <c r="AS456" s="608"/>
    </row>
    <row r="458" spans="1:50" s="19" customFormat="1" ht="15" customHeight="1" x14ac:dyDescent="0.25">
      <c r="A458" s="272"/>
      <c r="B458" s="277"/>
      <c r="C458" s="231" t="s">
        <v>176</v>
      </c>
      <c r="D458" s="275"/>
      <c r="E458" s="275"/>
      <c r="F458" s="275"/>
      <c r="G458" s="275"/>
      <c r="H458" s="275"/>
      <c r="I458" s="275"/>
      <c r="J458" s="275"/>
      <c r="K458" s="275"/>
      <c r="L458" s="284"/>
      <c r="M458" s="284"/>
      <c r="N458" s="284"/>
      <c r="O458" s="284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  <c r="Z458" s="275"/>
      <c r="AA458" s="275"/>
      <c r="AB458" s="275"/>
      <c r="AC458" s="275"/>
      <c r="AD458" s="275"/>
      <c r="AE458" s="275"/>
      <c r="AF458" s="275"/>
      <c r="AG458" s="275"/>
      <c r="AH458" s="275"/>
      <c r="AI458" s="275"/>
      <c r="AJ458" s="275"/>
      <c r="AK458" s="275"/>
      <c r="AL458" s="275"/>
      <c r="AM458" s="275"/>
      <c r="AN458" s="275"/>
      <c r="AO458" s="275"/>
      <c r="AP458" s="275"/>
      <c r="AQ458" s="275"/>
      <c r="AR458" s="275"/>
      <c r="AS458" s="276"/>
      <c r="AW458" s="25"/>
      <c r="AX458" s="25"/>
    </row>
    <row r="459" spans="1:50" s="19" customFormat="1" ht="23.25" customHeight="1" x14ac:dyDescent="0.25">
      <c r="A459" s="272"/>
      <c r="B459" s="277"/>
      <c r="C459" s="713" t="s">
        <v>973</v>
      </c>
      <c r="D459" s="714"/>
      <c r="E459" s="714"/>
      <c r="F459" s="714"/>
      <c r="G459" s="714"/>
      <c r="H459" s="714"/>
      <c r="I459" s="714"/>
      <c r="J459" s="714"/>
      <c r="K459" s="715"/>
      <c r="L459" s="710" t="s">
        <v>974</v>
      </c>
      <c r="M459" s="711"/>
      <c r="N459" s="711"/>
      <c r="O459" s="712"/>
      <c r="P459" s="597" t="s">
        <v>172</v>
      </c>
      <c r="Q459" s="598"/>
      <c r="R459" s="598"/>
      <c r="S459" s="598"/>
      <c r="T459" s="598"/>
      <c r="U459" s="598"/>
      <c r="V459" s="598"/>
      <c r="W459" s="598"/>
      <c r="X459" s="598"/>
      <c r="Y459" s="599"/>
      <c r="Z459" s="597" t="s">
        <v>173</v>
      </c>
      <c r="AA459" s="598"/>
      <c r="AB459" s="598"/>
      <c r="AC459" s="598"/>
      <c r="AD459" s="598"/>
      <c r="AE459" s="598"/>
      <c r="AF459" s="598"/>
      <c r="AG459" s="598"/>
      <c r="AH459" s="598"/>
      <c r="AI459" s="599"/>
      <c r="AJ459" s="597" t="s">
        <v>174</v>
      </c>
      <c r="AK459" s="598"/>
      <c r="AL459" s="598"/>
      <c r="AM459" s="598"/>
      <c r="AN459" s="598"/>
      <c r="AO459" s="598"/>
      <c r="AP459" s="598"/>
      <c r="AQ459" s="598"/>
      <c r="AR459" s="598"/>
      <c r="AS459" s="599"/>
      <c r="AW459" s="25"/>
      <c r="AX459" s="25"/>
    </row>
    <row r="460" spans="1:50" s="19" customFormat="1" ht="24.75" customHeight="1" x14ac:dyDescent="0.25">
      <c r="A460" s="272"/>
      <c r="B460" s="277"/>
      <c r="C460" s="716"/>
      <c r="D460" s="717"/>
      <c r="E460" s="717"/>
      <c r="F460" s="717"/>
      <c r="G460" s="717"/>
      <c r="H460" s="717"/>
      <c r="I460" s="717"/>
      <c r="J460" s="717"/>
      <c r="K460" s="718"/>
      <c r="L460" s="589"/>
      <c r="M460" s="590"/>
      <c r="N460" s="590"/>
      <c r="O460" s="591"/>
      <c r="P460" s="618" t="s">
        <v>975</v>
      </c>
      <c r="Q460" s="598"/>
      <c r="R460" s="598"/>
      <c r="S460" s="598"/>
      <c r="T460" s="599"/>
      <c r="U460" s="597" t="s">
        <v>976</v>
      </c>
      <c r="V460" s="598"/>
      <c r="W460" s="598"/>
      <c r="X460" s="598"/>
      <c r="Y460" s="599"/>
      <c r="Z460" s="618" t="s">
        <v>975</v>
      </c>
      <c r="AA460" s="598"/>
      <c r="AB460" s="598"/>
      <c r="AC460" s="598"/>
      <c r="AD460" s="599"/>
      <c r="AE460" s="597" t="s">
        <v>976</v>
      </c>
      <c r="AF460" s="598"/>
      <c r="AG460" s="598"/>
      <c r="AH460" s="598"/>
      <c r="AI460" s="599"/>
      <c r="AJ460" s="618" t="s">
        <v>975</v>
      </c>
      <c r="AK460" s="598"/>
      <c r="AL460" s="598"/>
      <c r="AM460" s="598"/>
      <c r="AN460" s="599"/>
      <c r="AO460" s="597" t="s">
        <v>976</v>
      </c>
      <c r="AP460" s="598"/>
      <c r="AQ460" s="598"/>
      <c r="AR460" s="598"/>
      <c r="AS460" s="599"/>
      <c r="AW460" s="25"/>
      <c r="AX460" s="25"/>
    </row>
    <row r="461" spans="1:50" x14ac:dyDescent="0.25">
      <c r="C461" s="615" t="s">
        <v>1018</v>
      </c>
      <c r="D461" s="616"/>
      <c r="E461" s="616"/>
      <c r="F461" s="616"/>
      <c r="G461" s="616"/>
      <c r="H461" s="616"/>
      <c r="I461" s="616"/>
      <c r="J461" s="616"/>
      <c r="K461" s="617"/>
      <c r="L461" s="342">
        <v>200</v>
      </c>
      <c r="M461" s="343"/>
      <c r="N461" s="343"/>
      <c r="O461" s="344"/>
      <c r="P461" s="342" t="s">
        <v>1024</v>
      </c>
      <c r="Q461" s="343"/>
      <c r="R461" s="343"/>
      <c r="S461" s="343"/>
      <c r="T461" s="344"/>
      <c r="U461" s="606">
        <f>VLOOKUP("УТ-00039454",'Выгрузка из 1С'!$B$4:$K$2000,10,FALSE)</f>
        <v>62880</v>
      </c>
      <c r="V461" s="607"/>
      <c r="W461" s="607"/>
      <c r="X461" s="607"/>
      <c r="Y461" s="608"/>
      <c r="Z461" s="342" t="s">
        <v>1030</v>
      </c>
      <c r="AA461" s="343"/>
      <c r="AB461" s="343"/>
      <c r="AC461" s="343"/>
      <c r="AD461" s="344"/>
      <c r="AE461" s="606">
        <f>VLOOKUP("УТ-00042195",'Выгрузка из 1С'!$B$4:$K$2000,10,FALSE)</f>
        <v>66600</v>
      </c>
      <c r="AF461" s="607"/>
      <c r="AG461" s="607"/>
      <c r="AH461" s="607"/>
      <c r="AI461" s="608"/>
      <c r="AJ461" s="342" t="s">
        <v>1036</v>
      </c>
      <c r="AK461" s="343"/>
      <c r="AL461" s="343"/>
      <c r="AM461" s="343"/>
      <c r="AN461" s="344"/>
      <c r="AO461" s="606">
        <f>VLOOKUP("УТ-00042203",'Выгрузка из 1С'!$B$4:$K$2000,10,FALSE)</f>
        <v>100320</v>
      </c>
      <c r="AP461" s="607"/>
      <c r="AQ461" s="607"/>
      <c r="AR461" s="607"/>
      <c r="AS461" s="608"/>
    </row>
    <row r="462" spans="1:50" x14ac:dyDescent="0.25">
      <c r="C462" s="615" t="s">
        <v>1019</v>
      </c>
      <c r="D462" s="616"/>
      <c r="E462" s="616"/>
      <c r="F462" s="616"/>
      <c r="G462" s="616"/>
      <c r="H462" s="616"/>
      <c r="I462" s="616"/>
      <c r="J462" s="616"/>
      <c r="K462" s="617"/>
      <c r="L462" s="342">
        <v>200</v>
      </c>
      <c r="M462" s="343"/>
      <c r="N462" s="343"/>
      <c r="O462" s="344"/>
      <c r="P462" s="342" t="s">
        <v>1025</v>
      </c>
      <c r="Q462" s="343"/>
      <c r="R462" s="343"/>
      <c r="S462" s="343"/>
      <c r="T462" s="344"/>
      <c r="U462" s="606">
        <f>VLOOKUP("УТ-00042680",'Выгрузка из 1С'!$B$4:$K$2000,10,FALSE)</f>
        <v>62880</v>
      </c>
      <c r="V462" s="607"/>
      <c r="W462" s="607"/>
      <c r="X462" s="607"/>
      <c r="Y462" s="608"/>
      <c r="Z462" s="342" t="s">
        <v>1031</v>
      </c>
      <c r="AA462" s="343"/>
      <c r="AB462" s="343"/>
      <c r="AC462" s="343"/>
      <c r="AD462" s="344"/>
      <c r="AE462" s="606">
        <f>VLOOKUP("УТ-00042681",'Выгрузка из 1С'!$B$4:$K$2000,10,FALSE)</f>
        <v>66600</v>
      </c>
      <c r="AF462" s="607"/>
      <c r="AG462" s="607"/>
      <c r="AH462" s="607"/>
      <c r="AI462" s="608"/>
      <c r="AJ462" s="342" t="s">
        <v>1037</v>
      </c>
      <c r="AK462" s="343"/>
      <c r="AL462" s="343"/>
      <c r="AM462" s="343"/>
      <c r="AN462" s="344"/>
      <c r="AO462" s="606">
        <f>VLOOKUP("УТ-00042682",'Выгрузка из 1С'!$B$4:$K$2000,10,FALSE)</f>
        <v>100320</v>
      </c>
      <c r="AP462" s="607"/>
      <c r="AQ462" s="607"/>
      <c r="AR462" s="607"/>
      <c r="AS462" s="608"/>
    </row>
    <row r="463" spans="1:50" x14ac:dyDescent="0.25">
      <c r="C463" s="615" t="s">
        <v>1020</v>
      </c>
      <c r="D463" s="616"/>
      <c r="E463" s="616"/>
      <c r="F463" s="616"/>
      <c r="G463" s="616"/>
      <c r="H463" s="616"/>
      <c r="I463" s="616"/>
      <c r="J463" s="616"/>
      <c r="K463" s="617"/>
      <c r="L463" s="342">
        <v>200</v>
      </c>
      <c r="M463" s="343"/>
      <c r="N463" s="343"/>
      <c r="O463" s="344"/>
      <c r="P463" s="342" t="s">
        <v>1026</v>
      </c>
      <c r="Q463" s="343"/>
      <c r="R463" s="343"/>
      <c r="S463" s="343"/>
      <c r="T463" s="344"/>
      <c r="U463" s="606">
        <f>VLOOKUP("УТ-00039513",'Выгрузка из 1С'!$B$4:$K$2000,10,FALSE)</f>
        <v>67560</v>
      </c>
      <c r="V463" s="607"/>
      <c r="W463" s="607"/>
      <c r="X463" s="607"/>
      <c r="Y463" s="608"/>
      <c r="Z463" s="342" t="s">
        <v>1032</v>
      </c>
      <c r="AA463" s="343"/>
      <c r="AB463" s="343"/>
      <c r="AC463" s="343"/>
      <c r="AD463" s="344"/>
      <c r="AE463" s="606">
        <f>VLOOKUP("00-00035040",'Выгрузка из 1С'!$B$4:$K$2000,10,FALSE)</f>
        <v>71640</v>
      </c>
      <c r="AF463" s="607"/>
      <c r="AG463" s="607"/>
      <c r="AH463" s="607"/>
      <c r="AI463" s="608"/>
      <c r="AJ463" s="342" t="s">
        <v>1038</v>
      </c>
      <c r="AK463" s="343"/>
      <c r="AL463" s="343"/>
      <c r="AM463" s="343"/>
      <c r="AN463" s="344"/>
      <c r="AO463" s="606">
        <f>VLOOKUP("УТ-00042204",'Выгрузка из 1С'!$B$4:$K$2000,10,FALSE)</f>
        <v>107880</v>
      </c>
      <c r="AP463" s="607"/>
      <c r="AQ463" s="607"/>
      <c r="AR463" s="607"/>
      <c r="AS463" s="608"/>
    </row>
    <row r="464" spans="1:50" x14ac:dyDescent="0.25">
      <c r="C464" s="615" t="s">
        <v>1021</v>
      </c>
      <c r="D464" s="616"/>
      <c r="E464" s="616"/>
      <c r="F464" s="616"/>
      <c r="G464" s="616"/>
      <c r="H464" s="616"/>
      <c r="I464" s="616"/>
      <c r="J464" s="616"/>
      <c r="K464" s="617"/>
      <c r="L464" s="342">
        <v>200</v>
      </c>
      <c r="M464" s="343"/>
      <c r="N464" s="343"/>
      <c r="O464" s="344"/>
      <c r="P464" s="342" t="s">
        <v>1027</v>
      </c>
      <c r="Q464" s="343"/>
      <c r="R464" s="343"/>
      <c r="S464" s="343"/>
      <c r="T464" s="344"/>
      <c r="U464" s="606">
        <f>VLOOKUP("УТ-00042689",'Выгрузка из 1С'!$B$4:$K$2000,10,FALSE)</f>
        <v>67560</v>
      </c>
      <c r="V464" s="607"/>
      <c r="W464" s="607"/>
      <c r="X464" s="607"/>
      <c r="Y464" s="608"/>
      <c r="Z464" s="342" t="s">
        <v>1033</v>
      </c>
      <c r="AA464" s="343"/>
      <c r="AB464" s="343"/>
      <c r="AC464" s="343"/>
      <c r="AD464" s="344"/>
      <c r="AE464" s="606">
        <f>VLOOKUP("УТ-00042690",'Выгрузка из 1С'!$B$4:$K$2000,10,FALSE)</f>
        <v>71640</v>
      </c>
      <c r="AF464" s="607"/>
      <c r="AG464" s="607"/>
      <c r="AH464" s="607"/>
      <c r="AI464" s="608"/>
      <c r="AJ464" s="342" t="s">
        <v>1039</v>
      </c>
      <c r="AK464" s="343"/>
      <c r="AL464" s="343"/>
      <c r="AM464" s="343"/>
      <c r="AN464" s="344"/>
      <c r="AO464" s="606">
        <f>VLOOKUP("УТ-00042691",'Выгрузка из 1С'!$B$4:$K$2000,10,FALSE)</f>
        <v>107880</v>
      </c>
      <c r="AP464" s="607"/>
      <c r="AQ464" s="607"/>
      <c r="AR464" s="607"/>
      <c r="AS464" s="608"/>
    </row>
    <row r="465" spans="1:50" x14ac:dyDescent="0.25">
      <c r="C465" s="615" t="s">
        <v>1022</v>
      </c>
      <c r="D465" s="616"/>
      <c r="E465" s="616"/>
      <c r="F465" s="616"/>
      <c r="G465" s="616"/>
      <c r="H465" s="616"/>
      <c r="I465" s="616"/>
      <c r="J465" s="616"/>
      <c r="K465" s="617"/>
      <c r="L465" s="342">
        <v>250</v>
      </c>
      <c r="M465" s="343"/>
      <c r="N465" s="343"/>
      <c r="O465" s="344"/>
      <c r="P465" s="342" t="s">
        <v>1028</v>
      </c>
      <c r="Q465" s="343"/>
      <c r="R465" s="343"/>
      <c r="S465" s="343"/>
      <c r="T465" s="344"/>
      <c r="U465" s="606">
        <f>VLOOKUP("УТ-00041936",'Выгрузка из 1С'!$B$4:$K$2000,10,FALSE)</f>
        <v>69840</v>
      </c>
      <c r="V465" s="607"/>
      <c r="W465" s="607"/>
      <c r="X465" s="607"/>
      <c r="Y465" s="608"/>
      <c r="Z465" s="342" t="s">
        <v>1034</v>
      </c>
      <c r="AA465" s="343"/>
      <c r="AB465" s="343"/>
      <c r="AC465" s="343"/>
      <c r="AD465" s="344"/>
      <c r="AE465" s="606">
        <f>VLOOKUP("УТ-00042196",'Выгрузка из 1С'!$B$4:$K$2000,10,FALSE)</f>
        <v>73920</v>
      </c>
      <c r="AF465" s="607"/>
      <c r="AG465" s="607"/>
      <c r="AH465" s="607"/>
      <c r="AI465" s="608"/>
      <c r="AJ465" s="342" t="s">
        <v>1040</v>
      </c>
      <c r="AK465" s="343"/>
      <c r="AL465" s="343"/>
      <c r="AM465" s="343"/>
      <c r="AN465" s="344"/>
      <c r="AO465" s="606">
        <f>VLOOKUP("УТ-00042205",'Выгрузка из 1С'!$B$4:$K$2000,10,FALSE)</f>
        <v>111480</v>
      </c>
      <c r="AP465" s="607"/>
      <c r="AQ465" s="607"/>
      <c r="AR465" s="607"/>
      <c r="AS465" s="608"/>
    </row>
    <row r="466" spans="1:50" x14ac:dyDescent="0.25">
      <c r="C466" s="615" t="s">
        <v>1023</v>
      </c>
      <c r="D466" s="616"/>
      <c r="E466" s="616"/>
      <c r="F466" s="616"/>
      <c r="G466" s="616"/>
      <c r="H466" s="616"/>
      <c r="I466" s="616"/>
      <c r="J466" s="616"/>
      <c r="K466" s="617"/>
      <c r="L466" s="342">
        <v>250</v>
      </c>
      <c r="M466" s="343"/>
      <c r="N466" s="343"/>
      <c r="O466" s="344"/>
      <c r="P466" s="342" t="s">
        <v>1029</v>
      </c>
      <c r="Q466" s="343"/>
      <c r="R466" s="343"/>
      <c r="S466" s="343"/>
      <c r="T466" s="344"/>
      <c r="U466" s="606">
        <f>VLOOKUP("УТ-00039499",'Выгрузка из 1С'!$B$4:$K$2000,10,FALSE)</f>
        <v>69840</v>
      </c>
      <c r="V466" s="607"/>
      <c r="W466" s="607"/>
      <c r="X466" s="607"/>
      <c r="Y466" s="608"/>
      <c r="Z466" s="342" t="s">
        <v>1035</v>
      </c>
      <c r="AA466" s="343"/>
      <c r="AB466" s="343"/>
      <c r="AC466" s="343"/>
      <c r="AD466" s="344"/>
      <c r="AE466" s="606">
        <f>VLOOKUP("УТ-00042197",'Выгрузка из 1С'!$B$4:$K$2000,10,FALSE)</f>
        <v>73920</v>
      </c>
      <c r="AF466" s="607"/>
      <c r="AG466" s="607"/>
      <c r="AH466" s="607"/>
      <c r="AI466" s="608"/>
      <c r="AJ466" s="342" t="s">
        <v>1041</v>
      </c>
      <c r="AK466" s="343"/>
      <c r="AL466" s="343"/>
      <c r="AM466" s="343"/>
      <c r="AN466" s="344"/>
      <c r="AO466" s="606">
        <f>VLOOKUP("УТ-00042206",'Выгрузка из 1С'!$B$4:$K$2000,10,FALSE)</f>
        <v>111480</v>
      </c>
      <c r="AP466" s="607"/>
      <c r="AQ466" s="607"/>
      <c r="AR466" s="607"/>
      <c r="AS466" s="608"/>
    </row>
    <row r="467" spans="1:50" x14ac:dyDescent="0.25">
      <c r="C467" s="622" t="s">
        <v>1042</v>
      </c>
      <c r="D467" s="623"/>
      <c r="E467" s="623"/>
      <c r="F467" s="623"/>
      <c r="G467" s="623"/>
      <c r="H467" s="623"/>
      <c r="I467" s="623"/>
      <c r="J467" s="623"/>
      <c r="K467" s="624"/>
      <c r="L467" s="342">
        <v>328</v>
      </c>
      <c r="M467" s="343"/>
      <c r="N467" s="343"/>
      <c r="O467" s="344"/>
      <c r="P467" s="342" t="s">
        <v>1044</v>
      </c>
      <c r="Q467" s="343"/>
      <c r="R467" s="343"/>
      <c r="S467" s="343"/>
      <c r="T467" s="344"/>
      <c r="U467" s="606">
        <f>VLOOKUP("УТ-00042190",'Выгрузка из 1С'!$B$4:$K$2000,10,FALSE)</f>
        <v>126120</v>
      </c>
      <c r="V467" s="607"/>
      <c r="W467" s="607"/>
      <c r="X467" s="607"/>
      <c r="Y467" s="608"/>
      <c r="Z467" s="342" t="s">
        <v>1046</v>
      </c>
      <c r="AA467" s="343"/>
      <c r="AB467" s="343"/>
      <c r="AC467" s="343"/>
      <c r="AD467" s="344"/>
      <c r="AE467" s="606">
        <f>VLOOKUP("УТ-00042198",'Выгрузка из 1С'!$B$4:$K$2000,10,FALSE)</f>
        <v>133920</v>
      </c>
      <c r="AF467" s="607"/>
      <c r="AG467" s="607"/>
      <c r="AH467" s="607"/>
      <c r="AI467" s="608"/>
      <c r="AJ467" s="342" t="s">
        <v>1048</v>
      </c>
      <c r="AK467" s="343"/>
      <c r="AL467" s="343"/>
      <c r="AM467" s="343"/>
      <c r="AN467" s="344"/>
      <c r="AO467" s="606">
        <f>VLOOKUP("УТ-00042207",'Выгрузка из 1С'!$B$4:$K$2000,10,FALSE)</f>
        <v>166080</v>
      </c>
      <c r="AP467" s="607"/>
      <c r="AQ467" s="607"/>
      <c r="AR467" s="607"/>
      <c r="AS467" s="608"/>
    </row>
    <row r="468" spans="1:50" ht="15" customHeight="1" x14ac:dyDescent="0.25">
      <c r="C468" s="622" t="s">
        <v>1043</v>
      </c>
      <c r="D468" s="623"/>
      <c r="E468" s="623"/>
      <c r="F468" s="623"/>
      <c r="G468" s="623"/>
      <c r="H468" s="623"/>
      <c r="I468" s="623"/>
      <c r="J468" s="623"/>
      <c r="K468" s="624"/>
      <c r="L468" s="342">
        <v>358</v>
      </c>
      <c r="M468" s="343"/>
      <c r="N468" s="343"/>
      <c r="O468" s="344"/>
      <c r="P468" s="342" t="s">
        <v>1045</v>
      </c>
      <c r="Q468" s="343"/>
      <c r="R468" s="343"/>
      <c r="S468" s="343"/>
      <c r="T468" s="344"/>
      <c r="U468" s="606">
        <f>VLOOKUP("УТ-00042672",'Выгрузка из 1С'!$B$4:$K$2000,10,FALSE)</f>
        <v>217080</v>
      </c>
      <c r="V468" s="607"/>
      <c r="W468" s="607"/>
      <c r="X468" s="607"/>
      <c r="Y468" s="608"/>
      <c r="Z468" s="342" t="s">
        <v>1047</v>
      </c>
      <c r="AA468" s="343"/>
      <c r="AB468" s="343"/>
      <c r="AC468" s="343"/>
      <c r="AD468" s="344"/>
      <c r="AE468" s="606">
        <f>VLOOKUP("УТ-00042673",'Выгрузка из 1С'!$B$4:$K$2000,10,FALSE)</f>
        <v>229800</v>
      </c>
      <c r="AF468" s="607"/>
      <c r="AG468" s="607"/>
      <c r="AH468" s="607"/>
      <c r="AI468" s="608"/>
      <c r="AJ468" s="342" t="s">
        <v>1049</v>
      </c>
      <c r="AK468" s="343"/>
      <c r="AL468" s="343"/>
      <c r="AM468" s="343"/>
      <c r="AN468" s="344"/>
      <c r="AO468" s="606">
        <f>VLOOKUP("УТ-00042674",'Выгрузка из 1С'!$B$4:$K$2000,10,FALSE)</f>
        <v>297360</v>
      </c>
      <c r="AP468" s="607"/>
      <c r="AQ468" s="607"/>
      <c r="AR468" s="607"/>
      <c r="AS468" s="608"/>
    </row>
    <row r="469" spans="1:50" s="19" customFormat="1" x14ac:dyDescent="0.25">
      <c r="A469" s="7"/>
      <c r="B469" s="17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W469" s="25"/>
      <c r="AX469" s="25"/>
    </row>
    <row r="470" spans="1:50" s="34" customFormat="1" x14ac:dyDescent="0.25">
      <c r="A470" s="13"/>
      <c r="B470" s="17"/>
      <c r="C470" s="619" t="s">
        <v>850</v>
      </c>
      <c r="D470" s="620"/>
      <c r="E470" s="620"/>
      <c r="F470" s="620"/>
      <c r="G470" s="620"/>
      <c r="H470" s="620"/>
      <c r="I470" s="620"/>
      <c r="J470" s="620"/>
      <c r="K470" s="620"/>
      <c r="L470" s="620"/>
      <c r="M470" s="620"/>
      <c r="N470" s="620"/>
      <c r="O470" s="620"/>
      <c r="P470" s="620"/>
      <c r="Q470" s="620"/>
      <c r="R470" s="620"/>
      <c r="S470" s="620"/>
      <c r="T470" s="620"/>
      <c r="U470" s="620"/>
      <c r="V470" s="620"/>
      <c r="W470" s="620"/>
      <c r="X470" s="620"/>
      <c r="Y470" s="620"/>
      <c r="Z470" s="620"/>
      <c r="AA470" s="620"/>
      <c r="AB470" s="620"/>
      <c r="AC470" s="620"/>
      <c r="AD470" s="620"/>
      <c r="AE470" s="620"/>
      <c r="AF470" s="620"/>
      <c r="AG470" s="620"/>
      <c r="AH470" s="620"/>
      <c r="AI470" s="620"/>
      <c r="AJ470" s="620"/>
      <c r="AK470" s="620"/>
      <c r="AL470" s="620"/>
      <c r="AM470" s="620"/>
      <c r="AN470" s="620"/>
      <c r="AO470" s="620"/>
      <c r="AP470" s="620"/>
      <c r="AQ470" s="620"/>
      <c r="AR470" s="620"/>
      <c r="AS470" s="621"/>
    </row>
    <row r="471" spans="1:50" s="34" customFormat="1" x14ac:dyDescent="0.25">
      <c r="A471" s="17"/>
      <c r="B471" s="17"/>
      <c r="C471" s="223"/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  <c r="P471" s="224"/>
      <c r="Q471" s="224"/>
      <c r="R471" s="224"/>
      <c r="S471" s="224"/>
      <c r="T471" s="224"/>
      <c r="U471" s="224"/>
      <c r="V471" s="224"/>
      <c r="W471" s="224"/>
      <c r="X471" s="224"/>
      <c r="Y471" s="224"/>
      <c r="Z471" s="224"/>
      <c r="AA471" s="224"/>
      <c r="AB471" s="224"/>
      <c r="AC471" s="224"/>
      <c r="AD471" s="224"/>
      <c r="AE471" s="224"/>
      <c r="AF471" s="224"/>
      <c r="AG471" s="224"/>
      <c r="AH471" s="224"/>
      <c r="AI471" s="224"/>
      <c r="AJ471" s="224"/>
      <c r="AK471" s="224"/>
      <c r="AL471" s="224"/>
      <c r="AM471" s="224"/>
      <c r="AN471" s="224"/>
      <c r="AO471" s="224"/>
      <c r="AP471" s="224"/>
      <c r="AQ471" s="224"/>
      <c r="AR471" s="224"/>
      <c r="AS471" s="225"/>
    </row>
    <row r="472" spans="1:50" s="19" customFormat="1" ht="15" customHeight="1" x14ac:dyDescent="0.25">
      <c r="A472" s="272"/>
      <c r="B472" s="277"/>
      <c r="C472" s="231" t="s">
        <v>1051</v>
      </c>
      <c r="D472" s="275"/>
      <c r="E472" s="275"/>
      <c r="F472" s="275"/>
      <c r="G472" s="275"/>
      <c r="H472" s="275"/>
      <c r="I472" s="275"/>
      <c r="J472" s="275"/>
      <c r="K472" s="275"/>
      <c r="L472" s="284"/>
      <c r="M472" s="284"/>
      <c r="N472" s="284"/>
      <c r="O472" s="284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  <c r="Z472" s="275"/>
      <c r="AA472" s="275"/>
      <c r="AB472" s="275"/>
      <c r="AC472" s="275"/>
      <c r="AD472" s="275"/>
      <c r="AE472" s="275"/>
      <c r="AF472" s="275"/>
      <c r="AG472" s="275"/>
      <c r="AH472" s="275"/>
      <c r="AI472" s="275"/>
      <c r="AJ472" s="275"/>
      <c r="AK472" s="275"/>
      <c r="AL472" s="275"/>
      <c r="AM472" s="275"/>
      <c r="AN472" s="275"/>
      <c r="AO472" s="275"/>
      <c r="AP472" s="275"/>
      <c r="AQ472" s="275"/>
      <c r="AR472" s="275"/>
      <c r="AS472" s="276"/>
      <c r="AW472" s="25"/>
      <c r="AX472" s="25"/>
    </row>
    <row r="473" spans="1:50" s="19" customFormat="1" ht="23.25" customHeight="1" x14ac:dyDescent="0.25">
      <c r="A473" s="272"/>
      <c r="B473" s="277"/>
      <c r="C473" s="713" t="s">
        <v>973</v>
      </c>
      <c r="D473" s="714"/>
      <c r="E473" s="714"/>
      <c r="F473" s="714"/>
      <c r="G473" s="714"/>
      <c r="H473" s="714"/>
      <c r="I473" s="714"/>
      <c r="J473" s="714"/>
      <c r="K473" s="715"/>
      <c r="L473" s="710" t="s">
        <v>974</v>
      </c>
      <c r="M473" s="711"/>
      <c r="N473" s="711"/>
      <c r="O473" s="712"/>
      <c r="P473" s="597" t="s">
        <v>172</v>
      </c>
      <c r="Q473" s="598"/>
      <c r="R473" s="598"/>
      <c r="S473" s="598"/>
      <c r="T473" s="598"/>
      <c r="U473" s="598"/>
      <c r="V473" s="598"/>
      <c r="W473" s="598"/>
      <c r="X473" s="598"/>
      <c r="Y473" s="599"/>
      <c r="Z473" s="597" t="s">
        <v>173</v>
      </c>
      <c r="AA473" s="598"/>
      <c r="AB473" s="598"/>
      <c r="AC473" s="598"/>
      <c r="AD473" s="598"/>
      <c r="AE473" s="598"/>
      <c r="AF473" s="598"/>
      <c r="AG473" s="598"/>
      <c r="AH473" s="598"/>
      <c r="AI473" s="599"/>
      <c r="AJ473" s="597" t="s">
        <v>174</v>
      </c>
      <c r="AK473" s="598"/>
      <c r="AL473" s="598"/>
      <c r="AM473" s="598"/>
      <c r="AN473" s="598"/>
      <c r="AO473" s="598"/>
      <c r="AP473" s="598"/>
      <c r="AQ473" s="598"/>
      <c r="AR473" s="598"/>
      <c r="AS473" s="599"/>
      <c r="AW473" s="25"/>
      <c r="AX473" s="25"/>
    </row>
    <row r="474" spans="1:50" s="19" customFormat="1" ht="24.75" customHeight="1" x14ac:dyDescent="0.25">
      <c r="A474" s="272"/>
      <c r="B474" s="277"/>
      <c r="C474" s="716"/>
      <c r="D474" s="717"/>
      <c r="E474" s="717"/>
      <c r="F474" s="717"/>
      <c r="G474" s="717"/>
      <c r="H474" s="717"/>
      <c r="I474" s="717"/>
      <c r="J474" s="717"/>
      <c r="K474" s="718"/>
      <c r="L474" s="589"/>
      <c r="M474" s="590"/>
      <c r="N474" s="590"/>
      <c r="O474" s="591"/>
      <c r="P474" s="618" t="s">
        <v>975</v>
      </c>
      <c r="Q474" s="598"/>
      <c r="R474" s="598"/>
      <c r="S474" s="598"/>
      <c r="T474" s="599"/>
      <c r="U474" s="597" t="s">
        <v>976</v>
      </c>
      <c r="V474" s="598"/>
      <c r="W474" s="598"/>
      <c r="X474" s="598"/>
      <c r="Y474" s="599"/>
      <c r="Z474" s="618" t="s">
        <v>975</v>
      </c>
      <c r="AA474" s="598"/>
      <c r="AB474" s="598"/>
      <c r="AC474" s="598"/>
      <c r="AD474" s="599"/>
      <c r="AE474" s="597" t="s">
        <v>976</v>
      </c>
      <c r="AF474" s="598"/>
      <c r="AG474" s="598"/>
      <c r="AH474" s="598"/>
      <c r="AI474" s="599"/>
      <c r="AJ474" s="618" t="s">
        <v>975</v>
      </c>
      <c r="AK474" s="598"/>
      <c r="AL474" s="598"/>
      <c r="AM474" s="598"/>
      <c r="AN474" s="599"/>
      <c r="AO474" s="597" t="s">
        <v>976</v>
      </c>
      <c r="AP474" s="598"/>
      <c r="AQ474" s="598"/>
      <c r="AR474" s="598"/>
      <c r="AS474" s="599"/>
      <c r="AW474" s="25"/>
      <c r="AX474" s="25"/>
    </row>
    <row r="475" spans="1:50" x14ac:dyDescent="0.25">
      <c r="C475" s="609" t="s">
        <v>977</v>
      </c>
      <c r="D475" s="610"/>
      <c r="E475" s="610"/>
      <c r="F475" s="610"/>
      <c r="G475" s="610"/>
      <c r="H475" s="610"/>
      <c r="I475" s="610"/>
      <c r="J475" s="610"/>
      <c r="K475" s="611"/>
      <c r="L475" s="342">
        <v>155</v>
      </c>
      <c r="M475" s="343"/>
      <c r="N475" s="343"/>
      <c r="O475" s="344"/>
      <c r="P475" s="342" t="s">
        <v>986</v>
      </c>
      <c r="Q475" s="343"/>
      <c r="R475" s="343"/>
      <c r="S475" s="343"/>
      <c r="T475" s="344"/>
      <c r="U475" s="606">
        <f>VLOOKUP("УТ-00042208",'Выгрузка из 1С'!$B$4:$K$2000,10,FALSE)</f>
        <v>69360</v>
      </c>
      <c r="V475" s="607"/>
      <c r="W475" s="607"/>
      <c r="X475" s="607"/>
      <c r="Y475" s="608"/>
      <c r="Z475" s="342" t="s">
        <v>996</v>
      </c>
      <c r="AA475" s="343"/>
      <c r="AB475" s="343"/>
      <c r="AC475" s="343"/>
      <c r="AD475" s="344"/>
      <c r="AE475" s="606">
        <f>VLOOKUP("УТ-00042222",'Выгрузка из 1С'!$B$4:$K$2000,10,FALSE)</f>
        <v>72480</v>
      </c>
      <c r="AF475" s="607"/>
      <c r="AG475" s="607"/>
      <c r="AH475" s="607"/>
      <c r="AI475" s="608"/>
      <c r="AJ475" s="342" t="s">
        <v>997</v>
      </c>
      <c r="AK475" s="343"/>
      <c r="AL475" s="343"/>
      <c r="AM475" s="343"/>
      <c r="AN475" s="344"/>
      <c r="AO475" s="606">
        <f>VLOOKUP("УТ-00042236",'Выгрузка из 1С'!$B$4:$K$2000,10,FALSE)</f>
        <v>100800</v>
      </c>
      <c r="AP475" s="607"/>
      <c r="AQ475" s="607"/>
      <c r="AR475" s="607"/>
      <c r="AS475" s="608"/>
    </row>
    <row r="476" spans="1:50" x14ac:dyDescent="0.25">
      <c r="C476" s="609" t="s">
        <v>978</v>
      </c>
      <c r="D476" s="610"/>
      <c r="E476" s="610"/>
      <c r="F476" s="610"/>
      <c r="G476" s="610"/>
      <c r="H476" s="610"/>
      <c r="I476" s="610"/>
      <c r="J476" s="610"/>
      <c r="K476" s="611"/>
      <c r="L476" s="342">
        <v>155</v>
      </c>
      <c r="M476" s="343"/>
      <c r="N476" s="343"/>
      <c r="O476" s="344"/>
      <c r="P476" s="342" t="s">
        <v>987</v>
      </c>
      <c r="Q476" s="343"/>
      <c r="R476" s="343"/>
      <c r="S476" s="343"/>
      <c r="T476" s="344"/>
      <c r="U476" s="606">
        <f>VLOOKUP("УТ-00042209",'Выгрузка из 1С'!$B$4:$K$2000,10,FALSE)</f>
        <v>69360</v>
      </c>
      <c r="V476" s="607"/>
      <c r="W476" s="607"/>
      <c r="X476" s="607"/>
      <c r="Y476" s="608"/>
      <c r="Z476" s="342" t="s">
        <v>999</v>
      </c>
      <c r="AA476" s="343"/>
      <c r="AB476" s="343"/>
      <c r="AC476" s="343"/>
      <c r="AD476" s="344"/>
      <c r="AE476" s="606">
        <f>VLOOKUP("УТ-00042223",'Выгрузка из 1С'!$B$4:$K$2000,10,FALSE)</f>
        <v>72480</v>
      </c>
      <c r="AF476" s="607"/>
      <c r="AG476" s="607"/>
      <c r="AH476" s="607"/>
      <c r="AI476" s="608"/>
      <c r="AJ476" s="342" t="s">
        <v>998</v>
      </c>
      <c r="AK476" s="343"/>
      <c r="AL476" s="343"/>
      <c r="AM476" s="343"/>
      <c r="AN476" s="344"/>
      <c r="AO476" s="606">
        <f>VLOOKUP("УТ-00042237",'Выгрузка из 1С'!$B$4:$K$2000,10,FALSE)</f>
        <v>100800</v>
      </c>
      <c r="AP476" s="607"/>
      <c r="AQ476" s="607"/>
      <c r="AR476" s="607"/>
      <c r="AS476" s="608"/>
    </row>
    <row r="477" spans="1:50" x14ac:dyDescent="0.25">
      <c r="C477" s="612" t="s">
        <v>979</v>
      </c>
      <c r="D477" s="613"/>
      <c r="E477" s="613"/>
      <c r="F477" s="613"/>
      <c r="G477" s="613"/>
      <c r="H477" s="613"/>
      <c r="I477" s="613"/>
      <c r="J477" s="613"/>
      <c r="K477" s="614"/>
      <c r="L477" s="342">
        <v>200</v>
      </c>
      <c r="M477" s="343"/>
      <c r="N477" s="343"/>
      <c r="O477" s="344"/>
      <c r="P477" s="342" t="s">
        <v>988</v>
      </c>
      <c r="Q477" s="343"/>
      <c r="R477" s="343"/>
      <c r="S477" s="343"/>
      <c r="T477" s="344"/>
      <c r="U477" s="606">
        <f>VLOOKUP("УТ-00042210",'Выгрузка из 1С'!$B$4:$K$2000,10,FALSE)</f>
        <v>72240</v>
      </c>
      <c r="V477" s="607"/>
      <c r="W477" s="607"/>
      <c r="X477" s="607"/>
      <c r="Y477" s="608"/>
      <c r="Z477" s="342" t="s">
        <v>1000</v>
      </c>
      <c r="AA477" s="343"/>
      <c r="AB477" s="343"/>
      <c r="AC477" s="343"/>
      <c r="AD477" s="344"/>
      <c r="AE477" s="606">
        <f>VLOOKUP("УТ-00042224",'Выгрузка из 1С'!$B$4:$K$2000,10,FALSE)</f>
        <v>75480</v>
      </c>
      <c r="AF477" s="607"/>
      <c r="AG477" s="607"/>
      <c r="AH477" s="607"/>
      <c r="AI477" s="608"/>
      <c r="AJ477" s="342" t="s">
        <v>1001</v>
      </c>
      <c r="AK477" s="343"/>
      <c r="AL477" s="343"/>
      <c r="AM477" s="343"/>
      <c r="AN477" s="344"/>
      <c r="AO477" s="606">
        <f>VLOOKUP("УТ-00042238",'Выгрузка из 1С'!$B$4:$K$2000,10,FALSE)</f>
        <v>105360</v>
      </c>
      <c r="AP477" s="607"/>
      <c r="AQ477" s="607"/>
      <c r="AR477" s="607"/>
      <c r="AS477" s="608"/>
    </row>
    <row r="478" spans="1:50" x14ac:dyDescent="0.25">
      <c r="C478" s="609" t="s">
        <v>980</v>
      </c>
      <c r="D478" s="610"/>
      <c r="E478" s="610"/>
      <c r="F478" s="610"/>
      <c r="G478" s="610"/>
      <c r="H478" s="610"/>
      <c r="I478" s="610"/>
      <c r="J478" s="610"/>
      <c r="K478" s="611"/>
      <c r="L478" s="342">
        <v>200</v>
      </c>
      <c r="M478" s="343"/>
      <c r="N478" s="343"/>
      <c r="O478" s="344"/>
      <c r="P478" s="342" t="s">
        <v>989</v>
      </c>
      <c r="Q478" s="343"/>
      <c r="R478" s="343"/>
      <c r="S478" s="343"/>
      <c r="T478" s="344"/>
      <c r="U478" s="606">
        <f>VLOOKUP("УТ-00042211",'Выгрузка из 1С'!$B$4:$K$2000,10,FALSE)</f>
        <v>72240</v>
      </c>
      <c r="V478" s="607"/>
      <c r="W478" s="607"/>
      <c r="X478" s="607"/>
      <c r="Y478" s="608"/>
      <c r="Z478" s="342" t="s">
        <v>1015</v>
      </c>
      <c r="AA478" s="343"/>
      <c r="AB478" s="343"/>
      <c r="AC478" s="343"/>
      <c r="AD478" s="344"/>
      <c r="AE478" s="606">
        <f>VLOOKUP("УТ-00042225",'Выгрузка из 1С'!$B$4:$K$2000,10,FALSE)</f>
        <v>75480</v>
      </c>
      <c r="AF478" s="607"/>
      <c r="AG478" s="607"/>
      <c r="AH478" s="607"/>
      <c r="AI478" s="608"/>
      <c r="AJ478" s="342" t="s">
        <v>1002</v>
      </c>
      <c r="AK478" s="343"/>
      <c r="AL478" s="343"/>
      <c r="AM478" s="343"/>
      <c r="AN478" s="344"/>
      <c r="AO478" s="606">
        <f>VLOOKUP("УТ-00042239",'Выгрузка из 1С'!$B$4:$K$2000,10,FALSE)</f>
        <v>105360</v>
      </c>
      <c r="AP478" s="607"/>
      <c r="AQ478" s="607"/>
      <c r="AR478" s="607"/>
      <c r="AS478" s="608"/>
    </row>
    <row r="479" spans="1:50" x14ac:dyDescent="0.25">
      <c r="C479" s="609" t="s">
        <v>981</v>
      </c>
      <c r="D479" s="610"/>
      <c r="E479" s="610"/>
      <c r="F479" s="610"/>
      <c r="G479" s="610"/>
      <c r="H479" s="610"/>
      <c r="I479" s="610"/>
      <c r="J479" s="610"/>
      <c r="K479" s="611"/>
      <c r="L479" s="342">
        <v>200</v>
      </c>
      <c r="M479" s="343"/>
      <c r="N479" s="343"/>
      <c r="O479" s="344"/>
      <c r="P479" s="342" t="s">
        <v>990</v>
      </c>
      <c r="Q479" s="343"/>
      <c r="R479" s="343"/>
      <c r="S479" s="343"/>
      <c r="T479" s="344"/>
      <c r="U479" s="606">
        <f>VLOOKUP("УТ-00042212",'Выгрузка из 1С'!$B$4:$K$2000,10,FALSE)</f>
        <v>72960</v>
      </c>
      <c r="V479" s="607"/>
      <c r="W479" s="607"/>
      <c r="X479" s="607"/>
      <c r="Y479" s="608"/>
      <c r="Z479" s="342" t="s">
        <v>1014</v>
      </c>
      <c r="AA479" s="343"/>
      <c r="AB479" s="343"/>
      <c r="AC479" s="343"/>
      <c r="AD479" s="344"/>
      <c r="AE479" s="606">
        <f>VLOOKUP("УТ-00042226",'Выгрузка из 1С'!$B$4:$K$2000,10,FALSE)</f>
        <v>76560</v>
      </c>
      <c r="AF479" s="607"/>
      <c r="AG479" s="607"/>
      <c r="AH479" s="607"/>
      <c r="AI479" s="608"/>
      <c r="AJ479" s="342" t="s">
        <v>1003</v>
      </c>
      <c r="AK479" s="343"/>
      <c r="AL479" s="343"/>
      <c r="AM479" s="343"/>
      <c r="AN479" s="344"/>
      <c r="AO479" s="606">
        <f>VLOOKUP("УТ-00042240",'Выгрузка из 1С'!$B$4:$K$2000,10,FALSE)</f>
        <v>106800</v>
      </c>
      <c r="AP479" s="607"/>
      <c r="AQ479" s="607"/>
      <c r="AR479" s="607"/>
      <c r="AS479" s="608"/>
    </row>
    <row r="480" spans="1:50" x14ac:dyDescent="0.25">
      <c r="C480" s="609" t="s">
        <v>982</v>
      </c>
      <c r="D480" s="610"/>
      <c r="E480" s="610"/>
      <c r="F480" s="610"/>
      <c r="G480" s="610"/>
      <c r="H480" s="610"/>
      <c r="I480" s="610"/>
      <c r="J480" s="610"/>
      <c r="K480" s="611"/>
      <c r="L480" s="342">
        <v>200</v>
      </c>
      <c r="M480" s="343"/>
      <c r="N480" s="343"/>
      <c r="O480" s="344"/>
      <c r="P480" s="342" t="s">
        <v>991</v>
      </c>
      <c r="Q480" s="343"/>
      <c r="R480" s="343"/>
      <c r="S480" s="343"/>
      <c r="T480" s="344"/>
      <c r="U480" s="606">
        <f>VLOOKUP("УТ-00042213",'Выгрузка из 1С'!$B$4:$K$2000,10,FALSE)</f>
        <v>72960</v>
      </c>
      <c r="V480" s="607"/>
      <c r="W480" s="607"/>
      <c r="X480" s="607"/>
      <c r="Y480" s="608"/>
      <c r="Z480" s="342" t="s">
        <v>1013</v>
      </c>
      <c r="AA480" s="343"/>
      <c r="AB480" s="343"/>
      <c r="AC480" s="343"/>
      <c r="AD480" s="344"/>
      <c r="AE480" s="606">
        <f>VLOOKUP("УТ-00042227",'Выгрузка из 1С'!$B$4:$K$2000,10,FALSE)</f>
        <v>76560</v>
      </c>
      <c r="AF480" s="607"/>
      <c r="AG480" s="607"/>
      <c r="AH480" s="607"/>
      <c r="AI480" s="608"/>
      <c r="AJ480" s="342" t="s">
        <v>1004</v>
      </c>
      <c r="AK480" s="343"/>
      <c r="AL480" s="343"/>
      <c r="AM480" s="343"/>
      <c r="AN480" s="344"/>
      <c r="AO480" s="606">
        <f>VLOOKUP("УТ-00042241",'Выгрузка из 1С'!$B$4:$K$2000,10,FALSE)</f>
        <v>106800</v>
      </c>
      <c r="AP480" s="607"/>
      <c r="AQ480" s="607"/>
      <c r="AR480" s="607"/>
      <c r="AS480" s="608"/>
    </row>
    <row r="481" spans="1:50" x14ac:dyDescent="0.25">
      <c r="C481" s="612" t="s">
        <v>983</v>
      </c>
      <c r="D481" s="613"/>
      <c r="E481" s="613"/>
      <c r="F481" s="613"/>
      <c r="G481" s="613"/>
      <c r="H481" s="613"/>
      <c r="I481" s="613"/>
      <c r="J481" s="613"/>
      <c r="K481" s="614"/>
      <c r="L481" s="342">
        <v>200</v>
      </c>
      <c r="M481" s="343"/>
      <c r="N481" s="343"/>
      <c r="O481" s="344"/>
      <c r="P481" s="342" t="s">
        <v>992</v>
      </c>
      <c r="Q481" s="343"/>
      <c r="R481" s="343"/>
      <c r="S481" s="343"/>
      <c r="T481" s="344"/>
      <c r="U481" s="606">
        <f>VLOOKUP("УТ-00042214",'Выгрузка из 1С'!$B$4:$K$2000,10,FALSE)</f>
        <v>75480</v>
      </c>
      <c r="V481" s="607"/>
      <c r="W481" s="607"/>
      <c r="X481" s="607"/>
      <c r="Y481" s="608"/>
      <c r="Z481" s="342" t="s">
        <v>1012</v>
      </c>
      <c r="AA481" s="343"/>
      <c r="AB481" s="343"/>
      <c r="AC481" s="343"/>
      <c r="AD481" s="344"/>
      <c r="AE481" s="606">
        <f>VLOOKUP("УТ-00042228",'Выгрузка из 1С'!$B$4:$K$2000,10,FALSE)</f>
        <v>79080</v>
      </c>
      <c r="AF481" s="607"/>
      <c r="AG481" s="607"/>
      <c r="AH481" s="607"/>
      <c r="AI481" s="608"/>
      <c r="AJ481" s="342" t="s">
        <v>1005</v>
      </c>
      <c r="AK481" s="343"/>
      <c r="AL481" s="343"/>
      <c r="AM481" s="343"/>
      <c r="AN481" s="344"/>
      <c r="AO481" s="606">
        <f>VLOOKUP("УТ-00042242",'Выгрузка из 1С'!$B$4:$K$2000,10,FALSE)</f>
        <v>110808</v>
      </c>
      <c r="AP481" s="607"/>
      <c r="AQ481" s="607"/>
      <c r="AR481" s="607"/>
      <c r="AS481" s="608"/>
    </row>
    <row r="482" spans="1:50" x14ac:dyDescent="0.25">
      <c r="C482" s="609" t="s">
        <v>984</v>
      </c>
      <c r="D482" s="610"/>
      <c r="E482" s="610"/>
      <c r="F482" s="610"/>
      <c r="G482" s="610"/>
      <c r="H482" s="610"/>
      <c r="I482" s="610"/>
      <c r="J482" s="610"/>
      <c r="K482" s="611"/>
      <c r="L482" s="342">
        <v>200</v>
      </c>
      <c r="M482" s="343"/>
      <c r="N482" s="343"/>
      <c r="O482" s="344"/>
      <c r="P482" s="342" t="s">
        <v>993</v>
      </c>
      <c r="Q482" s="343"/>
      <c r="R482" s="343"/>
      <c r="S482" s="343"/>
      <c r="T482" s="344"/>
      <c r="U482" s="606">
        <f>VLOOKUP("УТ-00042215",'Выгрузка из 1С'!$B$4:$K$2000,10,FALSE)</f>
        <v>75480</v>
      </c>
      <c r="V482" s="607"/>
      <c r="W482" s="607"/>
      <c r="X482" s="607"/>
      <c r="Y482" s="608"/>
      <c r="Z482" s="342" t="s">
        <v>1011</v>
      </c>
      <c r="AA482" s="343"/>
      <c r="AB482" s="343"/>
      <c r="AC482" s="343"/>
      <c r="AD482" s="344"/>
      <c r="AE482" s="606">
        <f>VLOOKUP("УТ-00042229",'Выгрузка из 1С'!$B$4:$K$2000,10,FALSE)</f>
        <v>79080</v>
      </c>
      <c r="AF482" s="607"/>
      <c r="AG482" s="607"/>
      <c r="AH482" s="607"/>
      <c r="AI482" s="608"/>
      <c r="AJ482" s="342" t="s">
        <v>1006</v>
      </c>
      <c r="AK482" s="343"/>
      <c r="AL482" s="343"/>
      <c r="AM482" s="343"/>
      <c r="AN482" s="344"/>
      <c r="AO482" s="606">
        <f>VLOOKUP("УТ-00042243",'Выгрузка из 1С'!$B$4:$K$2000,10,FALSE)</f>
        <v>110808</v>
      </c>
      <c r="AP482" s="607"/>
      <c r="AQ482" s="607"/>
      <c r="AR482" s="607"/>
      <c r="AS482" s="608"/>
    </row>
    <row r="483" spans="1:50" x14ac:dyDescent="0.25">
      <c r="C483" s="615" t="s">
        <v>985</v>
      </c>
      <c r="D483" s="616"/>
      <c r="E483" s="616"/>
      <c r="F483" s="616"/>
      <c r="G483" s="616"/>
      <c r="H483" s="616"/>
      <c r="I483" s="616"/>
      <c r="J483" s="616"/>
      <c r="K483" s="617"/>
      <c r="L483" s="342">
        <v>200</v>
      </c>
      <c r="M483" s="343"/>
      <c r="N483" s="343"/>
      <c r="O483" s="344"/>
      <c r="P483" s="342" t="s">
        <v>994</v>
      </c>
      <c r="Q483" s="343"/>
      <c r="R483" s="343"/>
      <c r="S483" s="343"/>
      <c r="T483" s="344"/>
      <c r="U483" s="606">
        <f>VLOOKUP("УТ-00042216",'Выгрузка из 1С'!$B$4:$K$2000,10,FALSE)</f>
        <v>78480</v>
      </c>
      <c r="V483" s="607"/>
      <c r="W483" s="607"/>
      <c r="X483" s="607"/>
      <c r="Y483" s="608"/>
      <c r="Z483" s="342" t="s">
        <v>1010</v>
      </c>
      <c r="AA483" s="343"/>
      <c r="AB483" s="343"/>
      <c r="AC483" s="343"/>
      <c r="AD483" s="344"/>
      <c r="AE483" s="606">
        <f>VLOOKUP("УТ-00042230",'Выгрузка из 1С'!$B$4:$K$2000,10,FALSE)</f>
        <v>82200</v>
      </c>
      <c r="AF483" s="607"/>
      <c r="AG483" s="607"/>
      <c r="AH483" s="607"/>
      <c r="AI483" s="608"/>
      <c r="AJ483" s="342" t="s">
        <v>1007</v>
      </c>
      <c r="AK483" s="343"/>
      <c r="AL483" s="343"/>
      <c r="AM483" s="343"/>
      <c r="AN483" s="344"/>
      <c r="AO483" s="606">
        <f>VLOOKUP("УТ-00042244",'Выгрузка из 1С'!$B$4:$K$2000,10,FALSE)</f>
        <v>115728</v>
      </c>
      <c r="AP483" s="607"/>
      <c r="AQ483" s="607"/>
      <c r="AR483" s="607"/>
      <c r="AS483" s="608"/>
    </row>
    <row r="484" spans="1:50" x14ac:dyDescent="0.25">
      <c r="C484" s="615" t="s">
        <v>1017</v>
      </c>
      <c r="D484" s="616"/>
      <c r="E484" s="616"/>
      <c r="F484" s="616"/>
      <c r="G484" s="616"/>
      <c r="H484" s="616"/>
      <c r="I484" s="616"/>
      <c r="J484" s="616"/>
      <c r="K484" s="617"/>
      <c r="L484" s="342">
        <v>200</v>
      </c>
      <c r="M484" s="343"/>
      <c r="N484" s="343"/>
      <c r="O484" s="344"/>
      <c r="P484" s="342" t="s">
        <v>995</v>
      </c>
      <c r="Q484" s="343"/>
      <c r="R484" s="343"/>
      <c r="S484" s="343"/>
      <c r="T484" s="344"/>
      <c r="U484" s="606">
        <f>VLOOKUP("УТ-00042217",'Выгрузка из 1С'!$B$4:$K$2000,10,FALSE)</f>
        <v>78480</v>
      </c>
      <c r="V484" s="607"/>
      <c r="W484" s="607"/>
      <c r="X484" s="607"/>
      <c r="Y484" s="608"/>
      <c r="Z484" s="342" t="s">
        <v>1009</v>
      </c>
      <c r="AA484" s="343"/>
      <c r="AB484" s="343"/>
      <c r="AC484" s="343"/>
      <c r="AD484" s="344"/>
      <c r="AE484" s="606">
        <f>VLOOKUP("УТ-00042231",'Выгрузка из 1С'!$B$4:$K$2000,10,FALSE)</f>
        <v>82200</v>
      </c>
      <c r="AF484" s="607"/>
      <c r="AG484" s="607"/>
      <c r="AH484" s="607"/>
      <c r="AI484" s="608"/>
      <c r="AJ484" s="342" t="s">
        <v>1008</v>
      </c>
      <c r="AK484" s="343"/>
      <c r="AL484" s="343"/>
      <c r="AM484" s="343"/>
      <c r="AN484" s="344"/>
      <c r="AO484" s="606">
        <f>VLOOKUP("УТ-00042245",'Выгрузка из 1С'!$B$4:$K$2000,10,FALSE)</f>
        <v>115728</v>
      </c>
      <c r="AP484" s="607"/>
      <c r="AQ484" s="607"/>
      <c r="AR484" s="607"/>
      <c r="AS484" s="608"/>
    </row>
    <row r="485" spans="1:50" x14ac:dyDescent="0.25">
      <c r="C485" s="615" t="s">
        <v>1018</v>
      </c>
      <c r="D485" s="616"/>
      <c r="E485" s="616"/>
      <c r="F485" s="616"/>
      <c r="G485" s="616"/>
      <c r="H485" s="616"/>
      <c r="I485" s="616"/>
      <c r="J485" s="616"/>
      <c r="K485" s="617"/>
      <c r="L485" s="342">
        <v>200</v>
      </c>
      <c r="M485" s="343"/>
      <c r="N485" s="343"/>
      <c r="O485" s="344"/>
      <c r="P485" s="342" t="s">
        <v>1024</v>
      </c>
      <c r="Q485" s="343"/>
      <c r="R485" s="343"/>
      <c r="S485" s="343"/>
      <c r="T485" s="344"/>
      <c r="U485" s="606">
        <f>VLOOKUP("УТ-00042218",'Выгрузка из 1С'!$B$4:$K$2000,10,FALSE)</f>
        <v>89160</v>
      </c>
      <c r="V485" s="607"/>
      <c r="W485" s="607"/>
      <c r="X485" s="607"/>
      <c r="Y485" s="608"/>
      <c r="Z485" s="342" t="s">
        <v>1030</v>
      </c>
      <c r="AA485" s="343"/>
      <c r="AB485" s="343"/>
      <c r="AC485" s="343"/>
      <c r="AD485" s="344"/>
      <c r="AE485" s="606">
        <f>VLOOKUP("УТ-00042232",'Выгрузка из 1С'!$B$4:$K$2000,10,FALSE)</f>
        <v>93840</v>
      </c>
      <c r="AF485" s="607"/>
      <c r="AG485" s="607"/>
      <c r="AH485" s="607"/>
      <c r="AI485" s="608"/>
      <c r="AJ485" s="342" t="s">
        <v>1036</v>
      </c>
      <c r="AK485" s="343"/>
      <c r="AL485" s="343"/>
      <c r="AM485" s="343"/>
      <c r="AN485" s="344"/>
      <c r="AO485" s="606">
        <f>VLOOKUP("УТ-00042246",'Выгрузка из 1С'!$B$4:$K$2000,10,FALSE)</f>
        <v>133200</v>
      </c>
      <c r="AP485" s="607"/>
      <c r="AQ485" s="607"/>
      <c r="AR485" s="607"/>
      <c r="AS485" s="608"/>
    </row>
    <row r="486" spans="1:50" x14ac:dyDescent="0.25">
      <c r="C486" s="615" t="s">
        <v>1019</v>
      </c>
      <c r="D486" s="616"/>
      <c r="E486" s="616"/>
      <c r="F486" s="616"/>
      <c r="G486" s="616"/>
      <c r="H486" s="616"/>
      <c r="I486" s="616"/>
      <c r="J486" s="616"/>
      <c r="K486" s="617"/>
      <c r="L486" s="342">
        <v>200</v>
      </c>
      <c r="M486" s="343"/>
      <c r="N486" s="343"/>
      <c r="O486" s="344"/>
      <c r="P486" s="342" t="s">
        <v>1025</v>
      </c>
      <c r="Q486" s="343"/>
      <c r="R486" s="343"/>
      <c r="S486" s="343"/>
      <c r="T486" s="344"/>
      <c r="U486" s="606">
        <f>VLOOKUP("УТ-00042683",'Выгрузка из 1С'!$B$4:$K$2000,10,FALSE)</f>
        <v>89160</v>
      </c>
      <c r="V486" s="607"/>
      <c r="W486" s="607"/>
      <c r="X486" s="607"/>
      <c r="Y486" s="608"/>
      <c r="Z486" s="342" t="s">
        <v>1031</v>
      </c>
      <c r="AA486" s="343"/>
      <c r="AB486" s="343"/>
      <c r="AC486" s="343"/>
      <c r="AD486" s="344"/>
      <c r="AE486" s="606">
        <f>VLOOKUP("УТ-00042684",'Выгрузка из 1С'!$B$4:$K$2000,10,FALSE)</f>
        <v>93840</v>
      </c>
      <c r="AF486" s="607"/>
      <c r="AG486" s="607"/>
      <c r="AH486" s="607"/>
      <c r="AI486" s="608"/>
      <c r="AJ486" s="342" t="s">
        <v>1037</v>
      </c>
      <c r="AK486" s="343"/>
      <c r="AL486" s="343"/>
      <c r="AM486" s="343"/>
      <c r="AN486" s="344"/>
      <c r="AO486" s="606">
        <f>VLOOKUP("УТ-00042685",'Выгрузка из 1С'!$B$4:$K$2000,10,FALSE)</f>
        <v>133200</v>
      </c>
      <c r="AP486" s="607"/>
      <c r="AQ486" s="607"/>
      <c r="AR486" s="607"/>
      <c r="AS486" s="608"/>
    </row>
    <row r="487" spans="1:50" x14ac:dyDescent="0.25">
      <c r="C487" s="615" t="s">
        <v>1020</v>
      </c>
      <c r="D487" s="616"/>
      <c r="E487" s="616"/>
      <c r="F487" s="616"/>
      <c r="G487" s="616"/>
      <c r="H487" s="616"/>
      <c r="I487" s="616"/>
      <c r="J487" s="616"/>
      <c r="K487" s="617"/>
      <c r="L487" s="342">
        <v>200</v>
      </c>
      <c r="M487" s="343"/>
      <c r="N487" s="343"/>
      <c r="O487" s="344"/>
      <c r="P487" s="342" t="s">
        <v>1026</v>
      </c>
      <c r="Q487" s="343"/>
      <c r="R487" s="343"/>
      <c r="S487" s="343"/>
      <c r="T487" s="344"/>
      <c r="U487" s="606">
        <f>VLOOKUP("УТ-00042219",'Выгрузка из 1С'!$B$4:$K$2000,10,FALSE)</f>
        <v>92040</v>
      </c>
      <c r="V487" s="607"/>
      <c r="W487" s="607"/>
      <c r="X487" s="607"/>
      <c r="Y487" s="608"/>
      <c r="Z487" s="342" t="s">
        <v>1032</v>
      </c>
      <c r="AA487" s="343"/>
      <c r="AB487" s="343"/>
      <c r="AC487" s="343"/>
      <c r="AD487" s="344"/>
      <c r="AE487" s="606">
        <f>VLOOKUP("УТ-00042233",'Выгрузка из 1С'!$B$4:$K$2000,10,FALSE)</f>
        <v>96600</v>
      </c>
      <c r="AF487" s="607"/>
      <c r="AG487" s="607"/>
      <c r="AH487" s="607"/>
      <c r="AI487" s="608"/>
      <c r="AJ487" s="342" t="s">
        <v>1038</v>
      </c>
      <c r="AK487" s="343"/>
      <c r="AL487" s="343"/>
      <c r="AM487" s="343"/>
      <c r="AN487" s="344"/>
      <c r="AO487" s="606">
        <f>VLOOKUP("УТ-00042247",'Выгрузка из 1С'!$B$4:$K$2000,10,FALSE)</f>
        <v>137760</v>
      </c>
      <c r="AP487" s="607"/>
      <c r="AQ487" s="607"/>
      <c r="AR487" s="607"/>
      <c r="AS487" s="608"/>
    </row>
    <row r="488" spans="1:50" x14ac:dyDescent="0.25">
      <c r="C488" s="615" t="s">
        <v>1021</v>
      </c>
      <c r="D488" s="616"/>
      <c r="E488" s="616"/>
      <c r="F488" s="616"/>
      <c r="G488" s="616"/>
      <c r="H488" s="616"/>
      <c r="I488" s="616"/>
      <c r="J488" s="616"/>
      <c r="K488" s="617"/>
      <c r="L488" s="342">
        <v>200</v>
      </c>
      <c r="M488" s="343"/>
      <c r="N488" s="343"/>
      <c r="O488" s="344"/>
      <c r="P488" s="342" t="s">
        <v>1027</v>
      </c>
      <c r="Q488" s="343"/>
      <c r="R488" s="343"/>
      <c r="S488" s="343"/>
      <c r="T488" s="344"/>
      <c r="U488" s="606">
        <f>VLOOKUP("УТ-00042692",'Выгрузка из 1С'!$B$4:$K$2000,10,FALSE)</f>
        <v>92040</v>
      </c>
      <c r="V488" s="607"/>
      <c r="W488" s="607"/>
      <c r="X488" s="607"/>
      <c r="Y488" s="608"/>
      <c r="Z488" s="342" t="s">
        <v>1033</v>
      </c>
      <c r="AA488" s="343"/>
      <c r="AB488" s="343"/>
      <c r="AC488" s="343"/>
      <c r="AD488" s="344"/>
      <c r="AE488" s="606">
        <f>VLOOKUP("УТ-00042693",'Выгрузка из 1С'!$B$4:$K$2000,10,FALSE)</f>
        <v>96600</v>
      </c>
      <c r="AF488" s="607"/>
      <c r="AG488" s="607"/>
      <c r="AH488" s="607"/>
      <c r="AI488" s="608"/>
      <c r="AJ488" s="342" t="s">
        <v>1039</v>
      </c>
      <c r="AK488" s="343"/>
      <c r="AL488" s="343"/>
      <c r="AM488" s="343"/>
      <c r="AN488" s="344"/>
      <c r="AO488" s="606">
        <f>VLOOKUP("УТ-00042694",'Выгрузка из 1С'!$B$4:$K$2000,10,FALSE)</f>
        <v>137760</v>
      </c>
      <c r="AP488" s="607"/>
      <c r="AQ488" s="607"/>
      <c r="AR488" s="607"/>
      <c r="AS488" s="608"/>
    </row>
    <row r="489" spans="1:50" x14ac:dyDescent="0.25">
      <c r="C489" s="615" t="s">
        <v>1022</v>
      </c>
      <c r="D489" s="616"/>
      <c r="E489" s="616"/>
      <c r="F489" s="616"/>
      <c r="G489" s="616"/>
      <c r="H489" s="616"/>
      <c r="I489" s="616"/>
      <c r="J489" s="616"/>
      <c r="K489" s="617"/>
      <c r="L489" s="342">
        <v>250</v>
      </c>
      <c r="M489" s="343"/>
      <c r="N489" s="343"/>
      <c r="O489" s="344"/>
      <c r="P489" s="342" t="s">
        <v>1028</v>
      </c>
      <c r="Q489" s="343"/>
      <c r="R489" s="343"/>
      <c r="S489" s="343"/>
      <c r="T489" s="344"/>
      <c r="U489" s="606">
        <f>VLOOKUP("УТ-00042220",'Выгрузка из 1С'!$B$4:$K$2000,10,FALSE)</f>
        <v>96960</v>
      </c>
      <c r="V489" s="607"/>
      <c r="W489" s="607"/>
      <c r="X489" s="607"/>
      <c r="Y489" s="608"/>
      <c r="Z489" s="342" t="s">
        <v>1034</v>
      </c>
      <c r="AA489" s="343"/>
      <c r="AB489" s="343"/>
      <c r="AC489" s="343"/>
      <c r="AD489" s="344"/>
      <c r="AE489" s="606">
        <f>VLOOKUP("УТ-00042234",'Выгрузка из 1С'!$B$4:$K$2000,10,FALSE)</f>
        <v>101880</v>
      </c>
      <c r="AF489" s="607"/>
      <c r="AG489" s="607"/>
      <c r="AH489" s="607"/>
      <c r="AI489" s="608"/>
      <c r="AJ489" s="342" t="s">
        <v>1040</v>
      </c>
      <c r="AK489" s="343"/>
      <c r="AL489" s="343"/>
      <c r="AM489" s="343"/>
      <c r="AN489" s="344"/>
      <c r="AO489" s="606">
        <f>VLOOKUP("УТ-00042248",'Выгрузка из 1С'!$B$4:$K$2000,10,FALSE)</f>
        <v>145560</v>
      </c>
      <c r="AP489" s="607"/>
      <c r="AQ489" s="607"/>
      <c r="AR489" s="607"/>
      <c r="AS489" s="608"/>
    </row>
    <row r="490" spans="1:50" x14ac:dyDescent="0.25">
      <c r="C490" s="615" t="s">
        <v>1023</v>
      </c>
      <c r="D490" s="616"/>
      <c r="E490" s="616"/>
      <c r="F490" s="616"/>
      <c r="G490" s="616"/>
      <c r="H490" s="616"/>
      <c r="I490" s="616"/>
      <c r="J490" s="616"/>
      <c r="K490" s="617"/>
      <c r="L490" s="342">
        <v>250</v>
      </c>
      <c r="M490" s="343"/>
      <c r="N490" s="343"/>
      <c r="O490" s="344"/>
      <c r="P490" s="342" t="s">
        <v>1029</v>
      </c>
      <c r="Q490" s="343"/>
      <c r="R490" s="343"/>
      <c r="S490" s="343"/>
      <c r="T490" s="344"/>
      <c r="U490" s="606">
        <f>VLOOKUP("УТ-00042221",'Выгрузка из 1С'!$B$4:$K$2000,10,FALSE)</f>
        <v>96960</v>
      </c>
      <c r="V490" s="607"/>
      <c r="W490" s="607"/>
      <c r="X490" s="607"/>
      <c r="Y490" s="608"/>
      <c r="Z490" s="342" t="s">
        <v>1035</v>
      </c>
      <c r="AA490" s="343"/>
      <c r="AB490" s="343"/>
      <c r="AC490" s="343"/>
      <c r="AD490" s="344"/>
      <c r="AE490" s="606">
        <f>VLOOKUP("УТ-00042235",'Выгрузка из 1С'!$B$4:$K$2000,10,FALSE)</f>
        <v>101880</v>
      </c>
      <c r="AF490" s="607"/>
      <c r="AG490" s="607"/>
      <c r="AH490" s="607"/>
      <c r="AI490" s="608"/>
      <c r="AJ490" s="342" t="s">
        <v>1041</v>
      </c>
      <c r="AK490" s="343"/>
      <c r="AL490" s="343"/>
      <c r="AM490" s="343"/>
      <c r="AN490" s="344"/>
      <c r="AO490" s="606">
        <f>VLOOKUP("УТ-00042249",'Выгрузка из 1С'!$B$4:$K$2000,10,FALSE)</f>
        <v>145560</v>
      </c>
      <c r="AP490" s="607"/>
      <c r="AQ490" s="607"/>
      <c r="AR490" s="607"/>
      <c r="AS490" s="608"/>
    </row>
    <row r="491" spans="1:50" s="19" customFormat="1" x14ac:dyDescent="0.25">
      <c r="A491" s="7"/>
      <c r="B491" s="17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W491" s="25"/>
      <c r="AX491" s="25"/>
    </row>
    <row r="492" spans="1:50" s="34" customFormat="1" x14ac:dyDescent="0.25">
      <c r="A492" s="17"/>
      <c r="B492" s="17"/>
      <c r="C492" s="619" t="s">
        <v>1050</v>
      </c>
      <c r="D492" s="620"/>
      <c r="E492" s="620"/>
      <c r="F492" s="620"/>
      <c r="G492" s="620"/>
      <c r="H492" s="620"/>
      <c r="I492" s="620"/>
      <c r="J492" s="620"/>
      <c r="K492" s="620"/>
      <c r="L492" s="620"/>
      <c r="M492" s="620"/>
      <c r="N492" s="620"/>
      <c r="O492" s="620"/>
      <c r="P492" s="620"/>
      <c r="Q492" s="620"/>
      <c r="R492" s="620"/>
      <c r="S492" s="620"/>
      <c r="T492" s="620"/>
      <c r="U492" s="620"/>
      <c r="V492" s="620"/>
      <c r="W492" s="620"/>
      <c r="X492" s="620"/>
      <c r="Y492" s="620"/>
      <c r="Z492" s="620"/>
      <c r="AA492" s="620"/>
      <c r="AB492" s="620"/>
      <c r="AC492" s="620"/>
      <c r="AD492" s="620"/>
      <c r="AE492" s="620"/>
      <c r="AF492" s="620"/>
      <c r="AG492" s="620"/>
      <c r="AH492" s="620"/>
      <c r="AI492" s="620"/>
      <c r="AJ492" s="620"/>
      <c r="AK492" s="620"/>
      <c r="AL492" s="620"/>
      <c r="AM492" s="620"/>
      <c r="AN492" s="620"/>
      <c r="AO492" s="620"/>
      <c r="AP492" s="620"/>
      <c r="AQ492" s="620"/>
      <c r="AR492" s="620"/>
      <c r="AS492" s="621"/>
    </row>
    <row r="493" spans="1:50" s="19" customFormat="1" ht="23.25" customHeight="1" x14ac:dyDescent="0.25">
      <c r="A493" s="272"/>
      <c r="B493" s="277"/>
      <c r="C493" s="713" t="s">
        <v>973</v>
      </c>
      <c r="D493" s="714"/>
      <c r="E493" s="714"/>
      <c r="F493" s="714"/>
      <c r="G493" s="714"/>
      <c r="H493" s="714"/>
      <c r="I493" s="714"/>
      <c r="J493" s="714"/>
      <c r="K493" s="715"/>
      <c r="L493" s="710" t="s">
        <v>974</v>
      </c>
      <c r="M493" s="711"/>
      <c r="N493" s="711"/>
      <c r="O493" s="712"/>
      <c r="P493" s="597" t="s">
        <v>172</v>
      </c>
      <c r="Q493" s="598"/>
      <c r="R493" s="598"/>
      <c r="S493" s="598"/>
      <c r="T493" s="598"/>
      <c r="U493" s="598"/>
      <c r="V493" s="598"/>
      <c r="W493" s="598"/>
      <c r="X493" s="598"/>
      <c r="Y493" s="599"/>
      <c r="Z493" s="597" t="s">
        <v>173</v>
      </c>
      <c r="AA493" s="598"/>
      <c r="AB493" s="598"/>
      <c r="AC493" s="598"/>
      <c r="AD493" s="598"/>
      <c r="AE493" s="598"/>
      <c r="AF493" s="598"/>
      <c r="AG493" s="598"/>
      <c r="AH493" s="598"/>
      <c r="AI493" s="599"/>
      <c r="AJ493" s="597" t="s">
        <v>174</v>
      </c>
      <c r="AK493" s="598"/>
      <c r="AL493" s="598"/>
      <c r="AM493" s="598"/>
      <c r="AN493" s="598"/>
      <c r="AO493" s="598"/>
      <c r="AP493" s="598"/>
      <c r="AQ493" s="598"/>
      <c r="AR493" s="598"/>
      <c r="AS493" s="599"/>
      <c r="AW493" s="25"/>
      <c r="AX493" s="25"/>
    </row>
    <row r="494" spans="1:50" s="19" customFormat="1" ht="24.75" customHeight="1" x14ac:dyDescent="0.25">
      <c r="A494" s="272"/>
      <c r="B494" s="277"/>
      <c r="C494" s="716"/>
      <c r="D494" s="717"/>
      <c r="E494" s="717"/>
      <c r="F494" s="717"/>
      <c r="G494" s="717"/>
      <c r="H494" s="717"/>
      <c r="I494" s="717"/>
      <c r="J494" s="717"/>
      <c r="K494" s="718"/>
      <c r="L494" s="589"/>
      <c r="M494" s="590"/>
      <c r="N494" s="590"/>
      <c r="O494" s="591"/>
      <c r="P494" s="618" t="s">
        <v>975</v>
      </c>
      <c r="Q494" s="598"/>
      <c r="R494" s="598"/>
      <c r="S494" s="598"/>
      <c r="T494" s="599"/>
      <c r="U494" s="597" t="s">
        <v>976</v>
      </c>
      <c r="V494" s="598"/>
      <c r="W494" s="598"/>
      <c r="X494" s="598"/>
      <c r="Y494" s="599"/>
      <c r="Z494" s="618" t="s">
        <v>975</v>
      </c>
      <c r="AA494" s="598"/>
      <c r="AB494" s="598"/>
      <c r="AC494" s="598"/>
      <c r="AD494" s="599"/>
      <c r="AE494" s="597" t="s">
        <v>976</v>
      </c>
      <c r="AF494" s="598"/>
      <c r="AG494" s="598"/>
      <c r="AH494" s="598"/>
      <c r="AI494" s="599"/>
      <c r="AJ494" s="618" t="s">
        <v>975</v>
      </c>
      <c r="AK494" s="598"/>
      <c r="AL494" s="598"/>
      <c r="AM494" s="598"/>
      <c r="AN494" s="599"/>
      <c r="AO494" s="597" t="s">
        <v>976</v>
      </c>
      <c r="AP494" s="598"/>
      <c r="AQ494" s="598"/>
      <c r="AR494" s="598"/>
      <c r="AS494" s="599"/>
      <c r="AW494" s="25"/>
      <c r="AX494" s="25"/>
    </row>
    <row r="495" spans="1:50" x14ac:dyDescent="0.25">
      <c r="C495" s="622" t="s">
        <v>1042</v>
      </c>
      <c r="D495" s="623"/>
      <c r="E495" s="623"/>
      <c r="F495" s="623"/>
      <c r="G495" s="623"/>
      <c r="H495" s="623"/>
      <c r="I495" s="623"/>
      <c r="J495" s="623"/>
      <c r="K495" s="624"/>
      <c r="L495" s="342">
        <v>328</v>
      </c>
      <c r="M495" s="343"/>
      <c r="N495" s="343"/>
      <c r="O495" s="344"/>
      <c r="P495" s="342" t="s">
        <v>1044</v>
      </c>
      <c r="Q495" s="343"/>
      <c r="R495" s="343"/>
      <c r="S495" s="343"/>
      <c r="T495" s="344"/>
      <c r="U495" s="597">
        <f>VLOOKUP("УТ-00039498",'Выгрузка из 1С'!$B$4:$K$2000,10,FALSE)</f>
        <v>174480</v>
      </c>
      <c r="V495" s="598"/>
      <c r="W495" s="598"/>
      <c r="X495" s="598"/>
      <c r="Y495" s="599"/>
      <c r="Z495" s="342" t="s">
        <v>1046</v>
      </c>
      <c r="AA495" s="343"/>
      <c r="AB495" s="343"/>
      <c r="AC495" s="343"/>
      <c r="AD495" s="344"/>
      <c r="AE495" s="597">
        <f>VLOOKUP("УТ-00042250",'Выгрузка из 1С'!$B$4:$K$2000,10,FALSE)</f>
        <v>182880</v>
      </c>
      <c r="AF495" s="598"/>
      <c r="AG495" s="598"/>
      <c r="AH495" s="598"/>
      <c r="AI495" s="599"/>
      <c r="AJ495" s="342" t="s">
        <v>1048</v>
      </c>
      <c r="AK495" s="343"/>
      <c r="AL495" s="343"/>
      <c r="AM495" s="343"/>
      <c r="AN495" s="344"/>
      <c r="AO495" s="597">
        <f>VLOOKUP("УТ-00042251",'Выгрузка из 1С'!$B$4:$K$2000,10,FALSE)</f>
        <v>218400</v>
      </c>
      <c r="AP495" s="598"/>
      <c r="AQ495" s="598"/>
      <c r="AR495" s="598"/>
      <c r="AS495" s="599"/>
    </row>
    <row r="496" spans="1:50" ht="15" customHeight="1" x14ac:dyDescent="0.25">
      <c r="C496" s="622" t="s">
        <v>1043</v>
      </c>
      <c r="D496" s="623"/>
      <c r="E496" s="623"/>
      <c r="F496" s="623"/>
      <c r="G496" s="623"/>
      <c r="H496" s="623"/>
      <c r="I496" s="623"/>
      <c r="J496" s="623"/>
      <c r="K496" s="624"/>
      <c r="L496" s="342">
        <v>358</v>
      </c>
      <c r="M496" s="343"/>
      <c r="N496" s="343"/>
      <c r="O496" s="344"/>
      <c r="P496" s="342" t="s">
        <v>1045</v>
      </c>
      <c r="Q496" s="343"/>
      <c r="R496" s="343"/>
      <c r="S496" s="343"/>
      <c r="T496" s="344"/>
      <c r="U496" s="597" t="s">
        <v>881</v>
      </c>
      <c r="V496" s="598"/>
      <c r="W496" s="598"/>
      <c r="X496" s="598"/>
      <c r="Y496" s="599"/>
      <c r="Z496" s="342" t="s">
        <v>1047</v>
      </c>
      <c r="AA496" s="343"/>
      <c r="AB496" s="343"/>
      <c r="AC496" s="343"/>
      <c r="AD496" s="344"/>
      <c r="AE496" s="597" t="s">
        <v>881</v>
      </c>
      <c r="AF496" s="598"/>
      <c r="AG496" s="598"/>
      <c r="AH496" s="598"/>
      <c r="AI496" s="599"/>
      <c r="AJ496" s="342" t="s">
        <v>1049</v>
      </c>
      <c r="AK496" s="343"/>
      <c r="AL496" s="343"/>
      <c r="AM496" s="343"/>
      <c r="AN496" s="344"/>
      <c r="AO496" s="597" t="s">
        <v>881</v>
      </c>
      <c r="AP496" s="598"/>
      <c r="AQ496" s="598"/>
      <c r="AR496" s="598"/>
      <c r="AS496" s="599"/>
    </row>
    <row r="497" spans="1:50" s="19" customFormat="1" x14ac:dyDescent="0.25">
      <c r="A497" s="7"/>
      <c r="B497" s="17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W497" s="25"/>
      <c r="AX497" s="25"/>
    </row>
    <row r="498" spans="1:50" s="19" customFormat="1" ht="12" customHeight="1" x14ac:dyDescent="0.25">
      <c r="A498" s="170"/>
      <c r="B498" s="17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W498" s="25"/>
      <c r="AX498" s="25"/>
    </row>
    <row r="499" spans="1:50" s="193" customFormat="1" ht="19.5" customHeight="1" x14ac:dyDescent="0.25">
      <c r="A499" s="49"/>
      <c r="B499" s="49"/>
      <c r="C499" s="205" t="s">
        <v>729</v>
      </c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</row>
    <row r="500" spans="1:50" s="138" customFormat="1" x14ac:dyDescent="0.25">
      <c r="A500" s="17"/>
      <c r="B500" s="17"/>
      <c r="C500" s="719" t="s">
        <v>1057</v>
      </c>
      <c r="D500" s="719"/>
      <c r="E500" s="719"/>
      <c r="F500" s="719"/>
      <c r="G500" s="719"/>
      <c r="H500" s="719"/>
      <c r="I500" s="719"/>
      <c r="J500" s="719"/>
      <c r="K500" s="719"/>
      <c r="L500" s="719"/>
      <c r="M500" s="719"/>
      <c r="N500" s="719"/>
      <c r="O500" s="719"/>
      <c r="P500" s="719"/>
      <c r="Q500" s="719"/>
      <c r="R500" s="719"/>
      <c r="S500" s="719"/>
      <c r="T500" s="719"/>
      <c r="U500" s="719"/>
      <c r="V500" s="719"/>
      <c r="W500" s="719"/>
      <c r="X500" s="719"/>
      <c r="Y500" s="719"/>
      <c r="Z500" s="719"/>
      <c r="AA500" s="719"/>
      <c r="AB500" s="719"/>
      <c r="AC500" s="719"/>
      <c r="AD500" s="719"/>
      <c r="AE500" s="719"/>
      <c r="AF500" s="719"/>
      <c r="AG500" s="719"/>
      <c r="AH500" s="719"/>
      <c r="AI500" s="719"/>
      <c r="AJ500" s="719"/>
      <c r="AK500" s="719"/>
      <c r="AL500" s="719"/>
      <c r="AM500" s="719"/>
      <c r="AN500" s="719"/>
      <c r="AO500" s="719"/>
      <c r="AP500" s="719"/>
      <c r="AQ500" s="719"/>
      <c r="AR500" s="719"/>
      <c r="AS500" s="719"/>
    </row>
    <row r="501" spans="1:50" s="25" customFormat="1" ht="15.75" x14ac:dyDescent="0.25">
      <c r="A501" s="7"/>
      <c r="B501" s="7"/>
      <c r="C501" s="226" t="s">
        <v>272</v>
      </c>
      <c r="D501" s="227"/>
      <c r="E501" s="227"/>
      <c r="F501" s="227"/>
      <c r="G501" s="227"/>
      <c r="H501" s="227"/>
      <c r="I501" s="227"/>
      <c r="J501" s="227"/>
      <c r="K501" s="227"/>
      <c r="L501" s="227"/>
      <c r="M501" s="227"/>
      <c r="N501" s="227"/>
      <c r="O501" s="227"/>
      <c r="P501" s="227"/>
      <c r="Q501" s="227"/>
      <c r="R501" s="227"/>
      <c r="S501" s="227"/>
      <c r="T501" s="227"/>
      <c r="U501" s="227"/>
      <c r="V501" s="227"/>
      <c r="W501" s="227"/>
      <c r="X501" s="227"/>
      <c r="Y501" s="227"/>
      <c r="Z501" s="227"/>
      <c r="AA501" s="227"/>
      <c r="AB501" s="227"/>
      <c r="AC501" s="227"/>
      <c r="AD501" s="227"/>
      <c r="AE501" s="227"/>
      <c r="AF501" s="227"/>
      <c r="AG501" s="227"/>
      <c r="AH501" s="227"/>
      <c r="AI501" s="227"/>
      <c r="AJ501" s="227"/>
      <c r="AK501" s="227"/>
      <c r="AL501" s="227"/>
      <c r="AM501" s="227"/>
      <c r="AN501" s="227"/>
      <c r="AO501" s="227"/>
      <c r="AP501" s="227"/>
      <c r="AQ501" s="227"/>
      <c r="AR501" s="227"/>
      <c r="AS501" s="228"/>
    </row>
    <row r="502" spans="1:50" s="47" customFormat="1" ht="47.25" customHeight="1" x14ac:dyDescent="0.2">
      <c r="A502" s="46"/>
      <c r="B502" s="46"/>
      <c r="C502" s="342" t="s">
        <v>273</v>
      </c>
      <c r="D502" s="343"/>
      <c r="E502" s="343"/>
      <c r="F502" s="344"/>
      <c r="G502" s="720" t="s">
        <v>1055</v>
      </c>
      <c r="H502" s="721"/>
      <c r="I502" s="721"/>
      <c r="J502" s="721"/>
      <c r="K502" s="721"/>
      <c r="L502" s="721"/>
      <c r="M502" s="722"/>
      <c r="N502" s="720" t="s">
        <v>1056</v>
      </c>
      <c r="O502" s="721"/>
      <c r="P502" s="721"/>
      <c r="Q502" s="721"/>
      <c r="R502" s="721"/>
      <c r="S502" s="721"/>
      <c r="T502" s="721"/>
      <c r="U502" s="722"/>
      <c r="V502" s="724" t="s">
        <v>1052</v>
      </c>
      <c r="W502" s="343"/>
      <c r="X502" s="343"/>
      <c r="Y502" s="343"/>
      <c r="Z502" s="343"/>
      <c r="AA502" s="343"/>
      <c r="AB502" s="343"/>
      <c r="AC502" s="344"/>
      <c r="AD502" s="724" t="s">
        <v>1053</v>
      </c>
      <c r="AE502" s="343"/>
      <c r="AF502" s="343"/>
      <c r="AG502" s="343"/>
      <c r="AH502" s="343"/>
      <c r="AI502" s="343"/>
      <c r="AJ502" s="343"/>
      <c r="AK502" s="344"/>
      <c r="AL502" s="724" t="s">
        <v>1054</v>
      </c>
      <c r="AM502" s="343"/>
      <c r="AN502" s="343"/>
      <c r="AO502" s="343"/>
      <c r="AP502" s="343"/>
      <c r="AQ502" s="343"/>
      <c r="AR502" s="343"/>
      <c r="AS502" s="344"/>
      <c r="AW502" s="206"/>
      <c r="AX502" s="206"/>
    </row>
    <row r="503" spans="1:50" s="47" customFormat="1" ht="15" customHeight="1" x14ac:dyDescent="0.2">
      <c r="A503" s="46"/>
      <c r="B503" s="46"/>
      <c r="C503" s="728">
        <v>20</v>
      </c>
      <c r="D503" s="729"/>
      <c r="E503" s="729"/>
      <c r="F503" s="730"/>
      <c r="G503" s="723" t="s">
        <v>274</v>
      </c>
      <c r="H503" s="721"/>
      <c r="I503" s="721"/>
      <c r="J503" s="721"/>
      <c r="K503" s="721"/>
      <c r="L503" s="721"/>
      <c r="M503" s="722"/>
      <c r="N503" s="625">
        <f>VLOOKUP("УТ-00042705",'Выгрузка из 1С'!$B$4:$K$2000,10,FALSE)</f>
        <v>21480</v>
      </c>
      <c r="O503" s="626"/>
      <c r="P503" s="626"/>
      <c r="Q503" s="626"/>
      <c r="R503" s="626"/>
      <c r="S503" s="626"/>
      <c r="T503" s="626"/>
      <c r="U503" s="627"/>
      <c r="V503" s="625">
        <f>VLOOKUP("УТ-00042120",'Выгрузка из 1С'!$B$4:$K$2000,10,FALSE)</f>
        <v>22800</v>
      </c>
      <c r="W503" s="626"/>
      <c r="X503" s="626"/>
      <c r="Y503" s="626"/>
      <c r="Z503" s="626"/>
      <c r="AA503" s="626"/>
      <c r="AB503" s="626"/>
      <c r="AC503" s="627"/>
      <c r="AD503" s="725" t="s">
        <v>881</v>
      </c>
      <c r="AE503" s="726"/>
      <c r="AF503" s="726"/>
      <c r="AG503" s="726"/>
      <c r="AH503" s="726"/>
      <c r="AI503" s="726"/>
      <c r="AJ503" s="726"/>
      <c r="AK503" s="727"/>
      <c r="AL503" s="625">
        <f>VLOOKUP("УТ-00042121",'Выгрузка из 1С'!$B$4:$K$2000,10,FALSE)</f>
        <v>3000</v>
      </c>
      <c r="AM503" s="626"/>
      <c r="AN503" s="626"/>
      <c r="AO503" s="626"/>
      <c r="AP503" s="626"/>
      <c r="AQ503" s="626"/>
      <c r="AR503" s="626"/>
      <c r="AS503" s="627"/>
      <c r="AW503" s="206"/>
      <c r="AX503" s="206"/>
    </row>
    <row r="504" spans="1:50" s="47" customFormat="1" ht="15" customHeight="1" x14ac:dyDescent="0.2">
      <c r="A504" s="46"/>
      <c r="B504" s="46"/>
      <c r="C504" s="342">
        <v>25</v>
      </c>
      <c r="D504" s="343"/>
      <c r="E504" s="343"/>
      <c r="F504" s="344"/>
      <c r="G504" s="723" t="s">
        <v>275</v>
      </c>
      <c r="H504" s="721"/>
      <c r="I504" s="721"/>
      <c r="J504" s="721"/>
      <c r="K504" s="721"/>
      <c r="L504" s="721"/>
      <c r="M504" s="722"/>
      <c r="N504" s="625">
        <f>VLOOKUP("УТ-00042706",'Выгрузка из 1С'!$B$4:$K$2000,10,FALSE)</f>
        <v>23880</v>
      </c>
      <c r="O504" s="626"/>
      <c r="P504" s="626"/>
      <c r="Q504" s="626"/>
      <c r="R504" s="626"/>
      <c r="S504" s="626"/>
      <c r="T504" s="626"/>
      <c r="U504" s="627"/>
      <c r="V504" s="625">
        <f>VLOOKUP("УТ-00041796",'Выгрузка из 1С'!$B$4:$K$2000,10,FALSE)</f>
        <v>26160</v>
      </c>
      <c r="W504" s="626"/>
      <c r="X504" s="626"/>
      <c r="Y504" s="626"/>
      <c r="Z504" s="626"/>
      <c r="AA504" s="626"/>
      <c r="AB504" s="626"/>
      <c r="AC504" s="627"/>
      <c r="AD504" s="725" t="s">
        <v>881</v>
      </c>
      <c r="AE504" s="726"/>
      <c r="AF504" s="726"/>
      <c r="AG504" s="726"/>
      <c r="AH504" s="726"/>
      <c r="AI504" s="726"/>
      <c r="AJ504" s="726"/>
      <c r="AK504" s="727"/>
      <c r="AL504" s="625">
        <f>VLOOKUP("УТ-00041795",'Выгрузка из 1С'!$B$4:$K$2000,10,FALSE)</f>
        <v>3000</v>
      </c>
      <c r="AM504" s="626"/>
      <c r="AN504" s="626"/>
      <c r="AO504" s="626"/>
      <c r="AP504" s="626"/>
      <c r="AQ504" s="626"/>
      <c r="AR504" s="626"/>
      <c r="AS504" s="627"/>
      <c r="AW504" s="206"/>
      <c r="AX504" s="206"/>
    </row>
    <row r="505" spans="1:50" s="47" customFormat="1" ht="15" customHeight="1" x14ac:dyDescent="0.2">
      <c r="A505" s="46"/>
      <c r="B505" s="46"/>
      <c r="C505" s="342">
        <v>32</v>
      </c>
      <c r="D505" s="343"/>
      <c r="E505" s="343"/>
      <c r="F505" s="344"/>
      <c r="G505" s="723" t="s">
        <v>276</v>
      </c>
      <c r="H505" s="721"/>
      <c r="I505" s="721"/>
      <c r="J505" s="721"/>
      <c r="K505" s="721"/>
      <c r="L505" s="721"/>
      <c r="M505" s="722"/>
      <c r="N505" s="625">
        <f>VLOOKUP("УТ-00042707",'Выгрузка из 1С'!$B$4:$K$2000,10,FALSE)</f>
        <v>24960</v>
      </c>
      <c r="O505" s="626"/>
      <c r="P505" s="626"/>
      <c r="Q505" s="626"/>
      <c r="R505" s="626"/>
      <c r="S505" s="626"/>
      <c r="T505" s="626"/>
      <c r="U505" s="627"/>
      <c r="V505" s="625">
        <f>VLOOKUP("УТ-00042286",'Выгрузка из 1С'!$B$4:$K$2000,10,FALSE)</f>
        <v>27000</v>
      </c>
      <c r="W505" s="626"/>
      <c r="X505" s="626"/>
      <c r="Y505" s="626"/>
      <c r="Z505" s="626"/>
      <c r="AA505" s="626"/>
      <c r="AB505" s="626"/>
      <c r="AC505" s="627"/>
      <c r="AD505" s="725" t="s">
        <v>881</v>
      </c>
      <c r="AE505" s="726"/>
      <c r="AF505" s="726"/>
      <c r="AG505" s="726"/>
      <c r="AH505" s="726"/>
      <c r="AI505" s="726"/>
      <c r="AJ505" s="726"/>
      <c r="AK505" s="727"/>
      <c r="AL505" s="625">
        <f>VLOOKUP("УТ-00042311",'Выгрузка из 1С'!$B$4:$K$2000,10,FALSE)</f>
        <v>3180</v>
      </c>
      <c r="AM505" s="626"/>
      <c r="AN505" s="626"/>
      <c r="AO505" s="626"/>
      <c r="AP505" s="626"/>
      <c r="AQ505" s="626"/>
      <c r="AR505" s="626"/>
      <c r="AS505" s="627"/>
      <c r="AW505" s="206"/>
      <c r="AX505" s="206"/>
    </row>
    <row r="506" spans="1:50" s="47" customFormat="1" ht="15" customHeight="1" x14ac:dyDescent="0.2">
      <c r="A506" s="46"/>
      <c r="B506" s="46"/>
      <c r="C506" s="342">
        <v>40</v>
      </c>
      <c r="D506" s="343"/>
      <c r="E506" s="343"/>
      <c r="F506" s="344"/>
      <c r="G506" s="723" t="s">
        <v>277</v>
      </c>
      <c r="H506" s="721"/>
      <c r="I506" s="721"/>
      <c r="J506" s="721"/>
      <c r="K506" s="721"/>
      <c r="L506" s="721"/>
      <c r="M506" s="722"/>
      <c r="N506" s="625">
        <f>VLOOKUP("УТ-00042708",'Выгрузка из 1С'!$B$4:$K$2000,10,FALSE)</f>
        <v>26640</v>
      </c>
      <c r="O506" s="626"/>
      <c r="P506" s="626"/>
      <c r="Q506" s="626"/>
      <c r="R506" s="626"/>
      <c r="S506" s="626"/>
      <c r="T506" s="626"/>
      <c r="U506" s="627"/>
      <c r="V506" s="625">
        <f>VLOOKUP("УТ-00042316",'Выгрузка из 1С'!$B$4:$K$2000,10,FALSE)</f>
        <v>28200</v>
      </c>
      <c r="W506" s="626"/>
      <c r="X506" s="626"/>
      <c r="Y506" s="626"/>
      <c r="Z506" s="626"/>
      <c r="AA506" s="626"/>
      <c r="AB506" s="626"/>
      <c r="AC506" s="627"/>
      <c r="AD506" s="725" t="s">
        <v>881</v>
      </c>
      <c r="AE506" s="726"/>
      <c r="AF506" s="726"/>
      <c r="AG506" s="726"/>
      <c r="AH506" s="726"/>
      <c r="AI506" s="726"/>
      <c r="AJ506" s="726"/>
      <c r="AK506" s="727"/>
      <c r="AL506" s="625">
        <f>VLOOKUP("УТ-00042317",'Выгрузка из 1С'!$B$4:$K$2000,10,FALSE)</f>
        <v>3180</v>
      </c>
      <c r="AM506" s="626"/>
      <c r="AN506" s="626"/>
      <c r="AO506" s="626"/>
      <c r="AP506" s="626"/>
      <c r="AQ506" s="626"/>
      <c r="AR506" s="626"/>
      <c r="AS506" s="627"/>
      <c r="AW506" s="206"/>
      <c r="AX506" s="206"/>
    </row>
    <row r="507" spans="1:50" s="47" customFormat="1" ht="15" customHeight="1" x14ac:dyDescent="0.2">
      <c r="A507" s="46"/>
      <c r="B507" s="46"/>
      <c r="C507" s="342">
        <v>50</v>
      </c>
      <c r="D507" s="343"/>
      <c r="E507" s="343"/>
      <c r="F507" s="344"/>
      <c r="G507" s="723" t="s">
        <v>278</v>
      </c>
      <c r="H507" s="721"/>
      <c r="I507" s="721"/>
      <c r="J507" s="721"/>
      <c r="K507" s="721"/>
      <c r="L507" s="721"/>
      <c r="M507" s="722"/>
      <c r="N507" s="625">
        <f>VLOOKUP("УТ-00042061",'Выгрузка из 1С'!$B$4:$K$2000,10,FALSE)</f>
        <v>33720</v>
      </c>
      <c r="O507" s="626"/>
      <c r="P507" s="626"/>
      <c r="Q507" s="626"/>
      <c r="R507" s="626"/>
      <c r="S507" s="626"/>
      <c r="T507" s="626"/>
      <c r="U507" s="627"/>
      <c r="V507" s="625">
        <f>VLOOKUP("УТ-00042061",'Выгрузка из 1С'!$B$4:$K$2000,10,FALSE)</f>
        <v>33720</v>
      </c>
      <c r="W507" s="626"/>
      <c r="X507" s="626"/>
      <c r="Y507" s="626"/>
      <c r="Z507" s="626"/>
      <c r="AA507" s="626"/>
      <c r="AB507" s="626"/>
      <c r="AC507" s="627"/>
      <c r="AD507" s="725" t="s">
        <v>881</v>
      </c>
      <c r="AE507" s="726"/>
      <c r="AF507" s="726"/>
      <c r="AG507" s="726"/>
      <c r="AH507" s="726"/>
      <c r="AI507" s="726"/>
      <c r="AJ507" s="726"/>
      <c r="AK507" s="727"/>
      <c r="AL507" s="625">
        <f>VLOOKUP("УТ-00042812",'Выгрузка из 1С'!$B$4:$K$2000,10,FALSE)</f>
        <v>1860</v>
      </c>
      <c r="AM507" s="626"/>
      <c r="AN507" s="626"/>
      <c r="AO507" s="626"/>
      <c r="AP507" s="626"/>
      <c r="AQ507" s="626"/>
      <c r="AR507" s="626"/>
      <c r="AS507" s="627"/>
      <c r="AW507" s="206"/>
      <c r="AX507" s="206"/>
    </row>
    <row r="508" spans="1:50" s="47" customFormat="1" ht="15" customHeight="1" x14ac:dyDescent="0.2">
      <c r="A508" s="46"/>
      <c r="B508" s="46"/>
      <c r="C508" s="342">
        <v>80</v>
      </c>
      <c r="D508" s="343"/>
      <c r="E508" s="343"/>
      <c r="F508" s="344"/>
      <c r="G508" s="723" t="s">
        <v>279</v>
      </c>
      <c r="H508" s="721"/>
      <c r="I508" s="721"/>
      <c r="J508" s="721"/>
      <c r="K508" s="721"/>
      <c r="L508" s="721"/>
      <c r="M508" s="722"/>
      <c r="N508" s="625">
        <f>VLOOKUP("УТ-00039503",'Выгрузка из 1С'!$B$4:$K$2000,10,FALSE)</f>
        <v>43200</v>
      </c>
      <c r="O508" s="626"/>
      <c r="P508" s="626"/>
      <c r="Q508" s="626"/>
      <c r="R508" s="626"/>
      <c r="S508" s="626"/>
      <c r="T508" s="626"/>
      <c r="U508" s="627"/>
      <c r="V508" s="625">
        <f>VLOOKUP("УТ-00039503",'Выгрузка из 1С'!$B$4:$K$2000,10,FALSE)</f>
        <v>43200</v>
      </c>
      <c r="W508" s="626"/>
      <c r="X508" s="626"/>
      <c r="Y508" s="626"/>
      <c r="Z508" s="626"/>
      <c r="AA508" s="626"/>
      <c r="AB508" s="626"/>
      <c r="AC508" s="627"/>
      <c r="AD508" s="725" t="s">
        <v>881</v>
      </c>
      <c r="AE508" s="726"/>
      <c r="AF508" s="726"/>
      <c r="AG508" s="726"/>
      <c r="AH508" s="726"/>
      <c r="AI508" s="726"/>
      <c r="AJ508" s="726"/>
      <c r="AK508" s="727"/>
      <c r="AL508" s="625">
        <f>VLOOKUP("УТ-00042813",'Выгрузка из 1С'!$B$4:$K$2000,10,FALSE)</f>
        <v>2400</v>
      </c>
      <c r="AM508" s="626"/>
      <c r="AN508" s="626"/>
      <c r="AO508" s="626"/>
      <c r="AP508" s="626"/>
      <c r="AQ508" s="626"/>
      <c r="AR508" s="626"/>
      <c r="AS508" s="627"/>
      <c r="AW508" s="206"/>
      <c r="AX508" s="206"/>
    </row>
    <row r="509" spans="1:50" s="47" customFormat="1" ht="15" customHeight="1" x14ac:dyDescent="0.2">
      <c r="A509" s="46"/>
      <c r="B509" s="46"/>
      <c r="C509" s="342">
        <v>100</v>
      </c>
      <c r="D509" s="343"/>
      <c r="E509" s="343"/>
      <c r="F509" s="344"/>
      <c r="G509" s="723" t="s">
        <v>280</v>
      </c>
      <c r="H509" s="721"/>
      <c r="I509" s="721"/>
      <c r="J509" s="721"/>
      <c r="K509" s="721"/>
      <c r="L509" s="721"/>
      <c r="M509" s="722"/>
      <c r="N509" s="625">
        <f>VLOOKUP("УТ-00042711",'Выгрузка из 1С'!$B$4:$K$2000,10,FALSE)</f>
        <v>43200</v>
      </c>
      <c r="O509" s="626"/>
      <c r="P509" s="626"/>
      <c r="Q509" s="626"/>
      <c r="R509" s="626"/>
      <c r="S509" s="626"/>
      <c r="T509" s="626"/>
      <c r="U509" s="627"/>
      <c r="V509" s="625">
        <f>VLOOKUP("УТ-00042701",'Выгрузка из 1С'!$B$4:$K$2000,10,FALSE)</f>
        <v>47640</v>
      </c>
      <c r="W509" s="626"/>
      <c r="X509" s="626"/>
      <c r="Y509" s="626"/>
      <c r="Z509" s="626"/>
      <c r="AA509" s="626"/>
      <c r="AB509" s="626"/>
      <c r="AC509" s="627"/>
      <c r="AD509" s="725" t="s">
        <v>881</v>
      </c>
      <c r="AE509" s="726"/>
      <c r="AF509" s="726"/>
      <c r="AG509" s="726"/>
      <c r="AH509" s="726"/>
      <c r="AI509" s="726"/>
      <c r="AJ509" s="726"/>
      <c r="AK509" s="727"/>
      <c r="AL509" s="725" t="s">
        <v>881</v>
      </c>
      <c r="AM509" s="726"/>
      <c r="AN509" s="726"/>
      <c r="AO509" s="726"/>
      <c r="AP509" s="726"/>
      <c r="AQ509" s="726"/>
      <c r="AR509" s="726"/>
      <c r="AS509" s="727"/>
      <c r="AW509" s="206"/>
      <c r="AX509" s="206"/>
    </row>
    <row r="510" spans="1:50" s="47" customFormat="1" ht="15" customHeight="1" x14ac:dyDescent="0.2">
      <c r="A510" s="46"/>
      <c r="B510" s="46"/>
      <c r="C510" s="342">
        <v>150</v>
      </c>
      <c r="D510" s="343"/>
      <c r="E510" s="343"/>
      <c r="F510" s="344"/>
      <c r="G510" s="723" t="s">
        <v>281</v>
      </c>
      <c r="H510" s="721"/>
      <c r="I510" s="721"/>
      <c r="J510" s="721"/>
      <c r="K510" s="721"/>
      <c r="L510" s="721"/>
      <c r="M510" s="722"/>
      <c r="N510" s="625">
        <f>VLOOKUP("УТ-00042712",'Выгрузка из 1С'!$B$4:$K$2000,10,FALSE)</f>
        <v>0</v>
      </c>
      <c r="O510" s="626"/>
      <c r="P510" s="626"/>
      <c r="Q510" s="626"/>
      <c r="R510" s="626"/>
      <c r="S510" s="626"/>
      <c r="T510" s="626"/>
      <c r="U510" s="627"/>
      <c r="V510" s="625">
        <f>VLOOKUP("УТ-00042603",'Выгрузка из 1С'!$B$4:$K$2000,10,FALSE)</f>
        <v>0</v>
      </c>
      <c r="W510" s="626"/>
      <c r="X510" s="626"/>
      <c r="Y510" s="626"/>
      <c r="Z510" s="626"/>
      <c r="AA510" s="626"/>
      <c r="AB510" s="626"/>
      <c r="AC510" s="627"/>
      <c r="AD510" s="725" t="s">
        <v>881</v>
      </c>
      <c r="AE510" s="726"/>
      <c r="AF510" s="726"/>
      <c r="AG510" s="726"/>
      <c r="AH510" s="726"/>
      <c r="AI510" s="726"/>
      <c r="AJ510" s="726"/>
      <c r="AK510" s="727"/>
      <c r="AL510" s="725" t="s">
        <v>881</v>
      </c>
      <c r="AM510" s="726"/>
      <c r="AN510" s="726"/>
      <c r="AO510" s="726"/>
      <c r="AP510" s="726"/>
      <c r="AQ510" s="726"/>
      <c r="AR510" s="726"/>
      <c r="AS510" s="727"/>
      <c r="AW510" s="206"/>
      <c r="AX510" s="206"/>
    </row>
    <row r="511" spans="1:50" s="47" customFormat="1" ht="15" customHeight="1" x14ac:dyDescent="0.2">
      <c r="A511" s="46"/>
      <c r="B511" s="46"/>
      <c r="C511" s="342">
        <v>200</v>
      </c>
      <c r="D511" s="343"/>
      <c r="E511" s="343"/>
      <c r="F511" s="344"/>
      <c r="G511" s="723" t="s">
        <v>282</v>
      </c>
      <c r="H511" s="721"/>
      <c r="I511" s="721"/>
      <c r="J511" s="721"/>
      <c r="K511" s="721"/>
      <c r="L511" s="721"/>
      <c r="M511" s="722"/>
      <c r="N511" s="625">
        <f>VLOOKUP("УТ-00042713",'Выгрузка из 1С'!$B$4:$K$2000,10,FALSE)</f>
        <v>0</v>
      </c>
      <c r="O511" s="626"/>
      <c r="P511" s="626"/>
      <c r="Q511" s="626"/>
      <c r="R511" s="626"/>
      <c r="S511" s="626"/>
      <c r="T511" s="626"/>
      <c r="U511" s="627"/>
      <c r="V511" s="625">
        <f>VLOOKUP("УТ-00042702",'Выгрузка из 1С'!$B$4:$K$2000,10,FALSE)</f>
        <v>0</v>
      </c>
      <c r="W511" s="626"/>
      <c r="X511" s="626"/>
      <c r="Y511" s="626"/>
      <c r="Z511" s="626"/>
      <c r="AA511" s="626"/>
      <c r="AB511" s="626"/>
      <c r="AC511" s="627"/>
      <c r="AD511" s="725" t="s">
        <v>881</v>
      </c>
      <c r="AE511" s="726"/>
      <c r="AF511" s="726"/>
      <c r="AG511" s="726"/>
      <c r="AH511" s="726"/>
      <c r="AI511" s="726"/>
      <c r="AJ511" s="726"/>
      <c r="AK511" s="727"/>
      <c r="AL511" s="725" t="s">
        <v>881</v>
      </c>
      <c r="AM511" s="726"/>
      <c r="AN511" s="726"/>
      <c r="AO511" s="726"/>
      <c r="AP511" s="726"/>
      <c r="AQ511" s="726"/>
      <c r="AR511" s="726"/>
      <c r="AS511" s="727"/>
      <c r="AW511" s="206"/>
      <c r="AX511" s="206"/>
    </row>
    <row r="512" spans="1:50" s="47" customFormat="1" ht="15" customHeight="1" x14ac:dyDescent="0.2">
      <c r="A512" s="46"/>
      <c r="B512" s="46"/>
      <c r="C512" s="342">
        <v>250</v>
      </c>
      <c r="D512" s="343"/>
      <c r="E512" s="343"/>
      <c r="F512" s="344"/>
      <c r="G512" s="723" t="s">
        <v>283</v>
      </c>
      <c r="H512" s="721"/>
      <c r="I512" s="721"/>
      <c r="J512" s="721"/>
      <c r="K512" s="721"/>
      <c r="L512" s="721"/>
      <c r="M512" s="722"/>
      <c r="N512" s="625">
        <f>VLOOKUP("УТ-00042714",'Выгрузка из 1С'!$B$4:$K$2000,10,FALSE)</f>
        <v>0</v>
      </c>
      <c r="O512" s="626"/>
      <c r="P512" s="626"/>
      <c r="Q512" s="626"/>
      <c r="R512" s="626"/>
      <c r="S512" s="626"/>
      <c r="T512" s="626"/>
      <c r="U512" s="627"/>
      <c r="V512" s="625">
        <f>VLOOKUP("УТ-00042703",'Выгрузка из 1С'!$B$4:$K$2000,10,FALSE)</f>
        <v>0</v>
      </c>
      <c r="W512" s="626"/>
      <c r="X512" s="626"/>
      <c r="Y512" s="626"/>
      <c r="Z512" s="626"/>
      <c r="AA512" s="626"/>
      <c r="AB512" s="626"/>
      <c r="AC512" s="627"/>
      <c r="AD512" s="725" t="s">
        <v>881</v>
      </c>
      <c r="AE512" s="726"/>
      <c r="AF512" s="726"/>
      <c r="AG512" s="726"/>
      <c r="AH512" s="726"/>
      <c r="AI512" s="726"/>
      <c r="AJ512" s="726"/>
      <c r="AK512" s="727"/>
      <c r="AL512" s="725" t="s">
        <v>881</v>
      </c>
      <c r="AM512" s="726"/>
      <c r="AN512" s="726"/>
      <c r="AO512" s="726"/>
      <c r="AP512" s="726"/>
      <c r="AQ512" s="726"/>
      <c r="AR512" s="726"/>
      <c r="AS512" s="727"/>
      <c r="AW512" s="206"/>
      <c r="AX512" s="206"/>
    </row>
    <row r="513" spans="1:50" s="47" customFormat="1" ht="15" customHeight="1" x14ac:dyDescent="0.2">
      <c r="A513" s="46"/>
      <c r="B513" s="46"/>
      <c r="C513" s="342">
        <v>300</v>
      </c>
      <c r="D513" s="343"/>
      <c r="E513" s="343"/>
      <c r="F513" s="344"/>
      <c r="G513" s="723" t="s">
        <v>284</v>
      </c>
      <c r="H513" s="721"/>
      <c r="I513" s="721"/>
      <c r="J513" s="721"/>
      <c r="K513" s="721"/>
      <c r="L513" s="721"/>
      <c r="M513" s="722"/>
      <c r="N513" s="625">
        <f>VLOOKUP("УТ-00042715",'Выгрузка из 1С'!$B$4:$K$2000,10,FALSE)</f>
        <v>0</v>
      </c>
      <c r="O513" s="626"/>
      <c r="P513" s="626"/>
      <c r="Q513" s="626"/>
      <c r="R513" s="626"/>
      <c r="S513" s="626"/>
      <c r="T513" s="626"/>
      <c r="U513" s="627"/>
      <c r="V513" s="625">
        <f>VLOOKUP("00-00198745",'Выгрузка из 1С'!$B$4:$K$2000,10,FALSE)</f>
        <v>0</v>
      </c>
      <c r="W513" s="626"/>
      <c r="X513" s="626"/>
      <c r="Y513" s="626"/>
      <c r="Z513" s="626"/>
      <c r="AA513" s="626"/>
      <c r="AB513" s="626"/>
      <c r="AC513" s="627"/>
      <c r="AD513" s="725" t="s">
        <v>881</v>
      </c>
      <c r="AE513" s="726"/>
      <c r="AF513" s="726"/>
      <c r="AG513" s="726"/>
      <c r="AH513" s="726"/>
      <c r="AI513" s="726"/>
      <c r="AJ513" s="726"/>
      <c r="AK513" s="727"/>
      <c r="AL513" s="725" t="s">
        <v>881</v>
      </c>
      <c r="AM513" s="726"/>
      <c r="AN513" s="726"/>
      <c r="AO513" s="726"/>
      <c r="AP513" s="726"/>
      <c r="AQ513" s="726"/>
      <c r="AR513" s="726"/>
      <c r="AS513" s="727"/>
      <c r="AW513" s="206"/>
      <c r="AX513" s="206"/>
    </row>
    <row r="514" spans="1:50" s="47" customFormat="1" ht="12.75" x14ac:dyDescent="0.2">
      <c r="A514" s="46"/>
      <c r="B514" s="46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137"/>
      <c r="AO514" s="137"/>
      <c r="AP514" s="137"/>
      <c r="AQ514" s="137"/>
      <c r="AR514" s="137"/>
      <c r="AS514" s="137"/>
      <c r="AW514" s="206"/>
      <c r="AX514" s="206"/>
    </row>
    <row r="515" spans="1:50" s="47" customFormat="1" ht="12.75" x14ac:dyDescent="0.2">
      <c r="A515" s="46"/>
      <c r="B515" s="46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137"/>
      <c r="AO515" s="137"/>
      <c r="AP515" s="137"/>
      <c r="AQ515" s="137"/>
      <c r="AR515" s="137"/>
      <c r="AS515" s="137"/>
      <c r="AW515" s="206"/>
      <c r="AX515" s="206"/>
    </row>
    <row r="516" spans="1:50" s="138" customFormat="1" ht="19.5" customHeight="1" x14ac:dyDescent="0.2">
      <c r="A516" s="50"/>
      <c r="B516" s="50"/>
      <c r="C516" s="205" t="s">
        <v>730</v>
      </c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</row>
    <row r="517" spans="1:50" s="47" customFormat="1" ht="15" customHeight="1" x14ac:dyDescent="0.2">
      <c r="A517" s="46"/>
      <c r="B517" s="46"/>
      <c r="C517" s="342" t="s">
        <v>273</v>
      </c>
      <c r="D517" s="343"/>
      <c r="E517" s="343"/>
      <c r="F517" s="344"/>
      <c r="G517" s="731" t="s">
        <v>285</v>
      </c>
      <c r="H517" s="732"/>
      <c r="I517" s="732"/>
      <c r="J517" s="732"/>
      <c r="K517" s="732"/>
      <c r="L517" s="732"/>
      <c r="M517" s="732"/>
      <c r="N517" s="732"/>
      <c r="O517" s="732"/>
      <c r="P517" s="732"/>
      <c r="Q517" s="732"/>
      <c r="R517" s="729" t="s">
        <v>286</v>
      </c>
      <c r="S517" s="729"/>
      <c r="T517" s="729"/>
      <c r="U517" s="729"/>
      <c r="V517" s="729"/>
      <c r="W517" s="729"/>
      <c r="X517" s="729"/>
      <c r="Y517" s="729"/>
      <c r="Z517" s="729"/>
      <c r="AA517" s="729"/>
      <c r="AB517" s="729"/>
      <c r="AC517" s="729"/>
      <c r="AD517" s="729" t="s">
        <v>1058</v>
      </c>
      <c r="AE517" s="729"/>
      <c r="AF517" s="729"/>
      <c r="AG517" s="729"/>
      <c r="AH517" s="729"/>
      <c r="AI517" s="729"/>
      <c r="AJ517" s="729"/>
      <c r="AK517" s="730"/>
      <c r="AL517" s="729" t="s">
        <v>1059</v>
      </c>
      <c r="AM517" s="729"/>
      <c r="AN517" s="729"/>
      <c r="AO517" s="729"/>
      <c r="AP517" s="729"/>
      <c r="AQ517" s="729"/>
      <c r="AR517" s="729"/>
      <c r="AS517" s="730"/>
      <c r="AW517" s="206"/>
      <c r="AX517" s="206"/>
    </row>
    <row r="518" spans="1:50" s="47" customFormat="1" ht="15" customHeight="1" x14ac:dyDescent="0.2">
      <c r="A518" s="46"/>
      <c r="B518" s="46"/>
      <c r="C518" s="342">
        <v>15</v>
      </c>
      <c r="D518" s="343"/>
      <c r="E518" s="343"/>
      <c r="F518" s="344"/>
      <c r="G518" s="733" t="s">
        <v>287</v>
      </c>
      <c r="H518" s="734"/>
      <c r="I518" s="734"/>
      <c r="J518" s="734"/>
      <c r="K518" s="734"/>
      <c r="L518" s="734"/>
      <c r="M518" s="734"/>
      <c r="N518" s="734"/>
      <c r="O518" s="734"/>
      <c r="P518" s="734"/>
      <c r="Q518" s="734"/>
      <c r="R518" s="343" t="s">
        <v>288</v>
      </c>
      <c r="S518" s="343"/>
      <c r="T518" s="343"/>
      <c r="U518" s="343"/>
      <c r="V518" s="343"/>
      <c r="W518" s="343"/>
      <c r="X518" s="343"/>
      <c r="Y518" s="343"/>
      <c r="Z518" s="343"/>
      <c r="AA518" s="343"/>
      <c r="AB518" s="343"/>
      <c r="AC518" s="343"/>
      <c r="AD518" s="625">
        <f>VLOOKUP("УТ-00042743",'Выгрузка из 1С'!$B$4:$K$2000,10,FALSE)</f>
        <v>31560</v>
      </c>
      <c r="AE518" s="626"/>
      <c r="AF518" s="626"/>
      <c r="AG518" s="626"/>
      <c r="AH518" s="626"/>
      <c r="AI518" s="626"/>
      <c r="AJ518" s="626"/>
      <c r="AK518" s="627"/>
      <c r="AL518" s="723"/>
      <c r="AM518" s="721"/>
      <c r="AN518" s="721"/>
      <c r="AO518" s="721"/>
      <c r="AP518" s="721"/>
      <c r="AQ518" s="721"/>
      <c r="AR518" s="721"/>
      <c r="AS518" s="722"/>
      <c r="AW518" s="206"/>
      <c r="AX518" s="206"/>
    </row>
    <row r="519" spans="1:50" s="47" customFormat="1" ht="15" customHeight="1" x14ac:dyDescent="0.2">
      <c r="A519" s="46"/>
      <c r="B519" s="46"/>
      <c r="C519" s="342">
        <v>20</v>
      </c>
      <c r="D519" s="343"/>
      <c r="E519" s="343"/>
      <c r="F519" s="344"/>
      <c r="G519" s="733" t="s">
        <v>287</v>
      </c>
      <c r="H519" s="734"/>
      <c r="I519" s="734"/>
      <c r="J519" s="734"/>
      <c r="K519" s="734"/>
      <c r="L519" s="734"/>
      <c r="M519" s="734"/>
      <c r="N519" s="734"/>
      <c r="O519" s="734"/>
      <c r="P519" s="734"/>
      <c r="Q519" s="734"/>
      <c r="R519" s="343" t="s">
        <v>289</v>
      </c>
      <c r="S519" s="343"/>
      <c r="T519" s="343"/>
      <c r="U519" s="343"/>
      <c r="V519" s="343"/>
      <c r="W519" s="343"/>
      <c r="X519" s="343"/>
      <c r="Y519" s="343"/>
      <c r="Z519" s="343"/>
      <c r="AA519" s="343"/>
      <c r="AB519" s="343"/>
      <c r="AC519" s="343"/>
      <c r="AD519" s="723"/>
      <c r="AE519" s="721"/>
      <c r="AF519" s="721"/>
      <c r="AG519" s="721"/>
      <c r="AH519" s="721"/>
      <c r="AI519" s="721"/>
      <c r="AJ519" s="721"/>
      <c r="AK519" s="722"/>
      <c r="AL519" s="625">
        <f>VLOOKUP("УТ-00042744",'Выгрузка из 1С'!$B$4:$K$2000,10,FALSE)</f>
        <v>29640</v>
      </c>
      <c r="AM519" s="626"/>
      <c r="AN519" s="626"/>
      <c r="AO519" s="626"/>
      <c r="AP519" s="626"/>
      <c r="AQ519" s="626"/>
      <c r="AR519" s="626"/>
      <c r="AS519" s="627"/>
      <c r="AW519" s="206"/>
      <c r="AX519" s="206"/>
    </row>
    <row r="520" spans="1:50" s="47" customFormat="1" ht="15" customHeight="1" x14ac:dyDescent="0.2">
      <c r="A520" s="46"/>
      <c r="B520" s="46"/>
      <c r="C520" s="342">
        <v>25</v>
      </c>
      <c r="D520" s="343"/>
      <c r="E520" s="343"/>
      <c r="F520" s="344"/>
      <c r="G520" s="733" t="s">
        <v>287</v>
      </c>
      <c r="H520" s="734"/>
      <c r="I520" s="734"/>
      <c r="J520" s="734"/>
      <c r="K520" s="734"/>
      <c r="L520" s="734"/>
      <c r="M520" s="734"/>
      <c r="N520" s="734"/>
      <c r="O520" s="734"/>
      <c r="P520" s="734"/>
      <c r="Q520" s="734"/>
      <c r="R520" s="343" t="s">
        <v>290</v>
      </c>
      <c r="S520" s="343"/>
      <c r="T520" s="343"/>
      <c r="U520" s="343"/>
      <c r="V520" s="343"/>
      <c r="W520" s="343"/>
      <c r="X520" s="343"/>
      <c r="Y520" s="343"/>
      <c r="Z520" s="343"/>
      <c r="AA520" s="343"/>
      <c r="AB520" s="343"/>
      <c r="AC520" s="343"/>
      <c r="AD520" s="625">
        <f>VLOOKUP("УТ-00042745",'Выгрузка из 1С'!$B$4:$K$2000,10,FALSE)</f>
        <v>34320</v>
      </c>
      <c r="AE520" s="626"/>
      <c r="AF520" s="626"/>
      <c r="AG520" s="626"/>
      <c r="AH520" s="626"/>
      <c r="AI520" s="626"/>
      <c r="AJ520" s="626"/>
      <c r="AK520" s="627"/>
      <c r="AL520" s="723"/>
      <c r="AM520" s="721"/>
      <c r="AN520" s="721"/>
      <c r="AO520" s="721"/>
      <c r="AP520" s="721"/>
      <c r="AQ520" s="721"/>
      <c r="AR520" s="721"/>
      <c r="AS520" s="722"/>
      <c r="AW520" s="206"/>
      <c r="AX520" s="206"/>
    </row>
    <row r="521" spans="1:50" s="47" customFormat="1" ht="15" customHeight="1" x14ac:dyDescent="0.2">
      <c r="A521" s="46"/>
      <c r="B521" s="46"/>
      <c r="C521" s="342">
        <v>32</v>
      </c>
      <c r="D521" s="343"/>
      <c r="E521" s="343"/>
      <c r="F521" s="344"/>
      <c r="G521" s="733" t="s">
        <v>287</v>
      </c>
      <c r="H521" s="734"/>
      <c r="I521" s="734"/>
      <c r="J521" s="734"/>
      <c r="K521" s="734"/>
      <c r="L521" s="734"/>
      <c r="M521" s="734"/>
      <c r="N521" s="734"/>
      <c r="O521" s="734"/>
      <c r="P521" s="734"/>
      <c r="Q521" s="734"/>
      <c r="R521" s="343" t="s">
        <v>291</v>
      </c>
      <c r="S521" s="343"/>
      <c r="T521" s="343"/>
      <c r="U521" s="343"/>
      <c r="V521" s="343"/>
      <c r="W521" s="343"/>
      <c r="X521" s="343"/>
      <c r="Y521" s="343"/>
      <c r="Z521" s="343"/>
      <c r="AA521" s="343"/>
      <c r="AB521" s="343"/>
      <c r="AC521" s="343"/>
      <c r="AD521" s="625">
        <f>VLOOKUP("УТ-00042747",'Выгрузка из 1С'!$B$4:$K$2000,10,FALSE)</f>
        <v>35280</v>
      </c>
      <c r="AE521" s="626"/>
      <c r="AF521" s="626"/>
      <c r="AG521" s="626"/>
      <c r="AH521" s="626"/>
      <c r="AI521" s="626"/>
      <c r="AJ521" s="626"/>
      <c r="AK521" s="627"/>
      <c r="AL521" s="625">
        <f>VLOOKUP("УТ-00042746",'Выгрузка из 1С'!$B$4:$K$2000,10,FALSE)</f>
        <v>31200</v>
      </c>
      <c r="AM521" s="626"/>
      <c r="AN521" s="626"/>
      <c r="AO521" s="626"/>
      <c r="AP521" s="626"/>
      <c r="AQ521" s="626"/>
      <c r="AR521" s="626"/>
      <c r="AS521" s="627"/>
      <c r="AW521" s="206"/>
      <c r="AX521" s="206"/>
    </row>
    <row r="522" spans="1:50" s="47" customFormat="1" ht="15" customHeight="1" x14ac:dyDescent="0.2">
      <c r="A522" s="46"/>
      <c r="B522" s="46"/>
      <c r="C522" s="342">
        <v>40</v>
      </c>
      <c r="D522" s="343"/>
      <c r="E522" s="343"/>
      <c r="F522" s="344"/>
      <c r="G522" s="733" t="s">
        <v>287</v>
      </c>
      <c r="H522" s="734"/>
      <c r="I522" s="734"/>
      <c r="J522" s="734"/>
      <c r="K522" s="734"/>
      <c r="L522" s="734"/>
      <c r="M522" s="734"/>
      <c r="N522" s="734"/>
      <c r="O522" s="734"/>
      <c r="P522" s="734"/>
      <c r="Q522" s="734"/>
      <c r="R522" s="343" t="s">
        <v>292</v>
      </c>
      <c r="S522" s="343"/>
      <c r="T522" s="343"/>
      <c r="U522" s="343"/>
      <c r="V522" s="343"/>
      <c r="W522" s="343"/>
      <c r="X522" s="343"/>
      <c r="Y522" s="343"/>
      <c r="Z522" s="343"/>
      <c r="AA522" s="343"/>
      <c r="AB522" s="343"/>
      <c r="AC522" s="343"/>
      <c r="AD522" s="625">
        <f>VLOOKUP("УТ-00042748",'Выгрузка из 1С'!$B$4:$K$2000,10,FALSE)</f>
        <v>37800</v>
      </c>
      <c r="AE522" s="626"/>
      <c r="AF522" s="626"/>
      <c r="AG522" s="626"/>
      <c r="AH522" s="626"/>
      <c r="AI522" s="626"/>
      <c r="AJ522" s="626"/>
      <c r="AK522" s="627"/>
      <c r="AL522" s="723"/>
      <c r="AM522" s="721"/>
      <c r="AN522" s="721"/>
      <c r="AO522" s="721"/>
      <c r="AP522" s="721"/>
      <c r="AQ522" s="721"/>
      <c r="AR522" s="721"/>
      <c r="AS522" s="722"/>
      <c r="AW522" s="206"/>
      <c r="AX522" s="206"/>
    </row>
    <row r="523" spans="1:50" s="47" customFormat="1" ht="15" customHeight="1" x14ac:dyDescent="0.2">
      <c r="A523" s="46"/>
      <c r="B523" s="46"/>
      <c r="C523" s="342">
        <v>50</v>
      </c>
      <c r="D523" s="343"/>
      <c r="E523" s="343"/>
      <c r="F523" s="344"/>
      <c r="G523" s="733" t="s">
        <v>287</v>
      </c>
      <c r="H523" s="734"/>
      <c r="I523" s="734"/>
      <c r="J523" s="734"/>
      <c r="K523" s="734"/>
      <c r="L523" s="734"/>
      <c r="M523" s="734"/>
      <c r="N523" s="734"/>
      <c r="O523" s="734"/>
      <c r="P523" s="734"/>
      <c r="Q523" s="734"/>
      <c r="R523" s="343" t="s">
        <v>293</v>
      </c>
      <c r="S523" s="343"/>
      <c r="T523" s="343"/>
      <c r="U523" s="343"/>
      <c r="V523" s="343"/>
      <c r="W523" s="343"/>
      <c r="X523" s="343"/>
      <c r="Y523" s="343"/>
      <c r="Z523" s="343"/>
      <c r="AA523" s="343"/>
      <c r="AB523" s="343"/>
      <c r="AC523" s="343"/>
      <c r="AD523" s="625">
        <f>VLOOKUP("УТ-00042750",'Выгрузка из 1С'!$B$4:$K$2000,10,FALSE)</f>
        <v>39960</v>
      </c>
      <c r="AE523" s="626"/>
      <c r="AF523" s="626"/>
      <c r="AG523" s="626"/>
      <c r="AH523" s="626"/>
      <c r="AI523" s="626"/>
      <c r="AJ523" s="626"/>
      <c r="AK523" s="627"/>
      <c r="AL523" s="625">
        <f>VLOOKUP("УТ-00042749",'Выгрузка из 1С'!$B$4:$K$2000,10,FALSE)</f>
        <v>34680</v>
      </c>
      <c r="AM523" s="626"/>
      <c r="AN523" s="626"/>
      <c r="AO523" s="626"/>
      <c r="AP523" s="626"/>
      <c r="AQ523" s="626"/>
      <c r="AR523" s="626"/>
      <c r="AS523" s="627"/>
      <c r="AW523" s="206"/>
      <c r="AX523" s="206"/>
    </row>
    <row r="524" spans="1:50" s="47" customFormat="1" ht="15" customHeight="1" x14ac:dyDescent="0.2">
      <c r="A524" s="46"/>
      <c r="B524" s="46"/>
      <c r="C524" s="342">
        <v>65</v>
      </c>
      <c r="D524" s="343"/>
      <c r="E524" s="343"/>
      <c r="F524" s="344"/>
      <c r="G524" s="733" t="s">
        <v>287</v>
      </c>
      <c r="H524" s="734"/>
      <c r="I524" s="734"/>
      <c r="J524" s="734"/>
      <c r="K524" s="734"/>
      <c r="L524" s="734"/>
      <c r="M524" s="734"/>
      <c r="N524" s="734"/>
      <c r="O524" s="734"/>
      <c r="P524" s="734"/>
      <c r="Q524" s="734"/>
      <c r="R524" s="343" t="s">
        <v>294</v>
      </c>
      <c r="S524" s="343"/>
      <c r="T524" s="343"/>
      <c r="U524" s="343"/>
      <c r="V524" s="343"/>
      <c r="W524" s="343"/>
      <c r="X524" s="343"/>
      <c r="Y524" s="343"/>
      <c r="Z524" s="343"/>
      <c r="AA524" s="343"/>
      <c r="AB524" s="343"/>
      <c r="AC524" s="343"/>
      <c r="AD524" s="625">
        <f>VLOOKUP("УТ-00042751",'Выгрузка из 1С'!$B$4:$K$2000,10,FALSE)</f>
        <v>45480</v>
      </c>
      <c r="AE524" s="626"/>
      <c r="AF524" s="626"/>
      <c r="AG524" s="626"/>
      <c r="AH524" s="626"/>
      <c r="AI524" s="626"/>
      <c r="AJ524" s="626"/>
      <c r="AK524" s="627"/>
      <c r="AL524" s="723"/>
      <c r="AM524" s="721"/>
      <c r="AN524" s="721"/>
      <c r="AO524" s="721"/>
      <c r="AP524" s="721"/>
      <c r="AQ524" s="721"/>
      <c r="AR524" s="721"/>
      <c r="AS524" s="722"/>
      <c r="AW524" s="206"/>
      <c r="AX524" s="206"/>
    </row>
    <row r="525" spans="1:50" s="47" customFormat="1" ht="15" customHeight="1" x14ac:dyDescent="0.2">
      <c r="A525" s="46"/>
      <c r="B525" s="46"/>
      <c r="C525" s="342">
        <v>80</v>
      </c>
      <c r="D525" s="343"/>
      <c r="E525" s="343"/>
      <c r="F525" s="344"/>
      <c r="G525" s="733" t="s">
        <v>287</v>
      </c>
      <c r="H525" s="734"/>
      <c r="I525" s="734"/>
      <c r="J525" s="734"/>
      <c r="K525" s="734"/>
      <c r="L525" s="734"/>
      <c r="M525" s="734"/>
      <c r="N525" s="734"/>
      <c r="O525" s="734"/>
      <c r="P525" s="734"/>
      <c r="Q525" s="734"/>
      <c r="R525" s="343" t="s">
        <v>295</v>
      </c>
      <c r="S525" s="343"/>
      <c r="T525" s="343"/>
      <c r="U525" s="343"/>
      <c r="V525" s="343"/>
      <c r="W525" s="343"/>
      <c r="X525" s="343"/>
      <c r="Y525" s="343"/>
      <c r="Z525" s="343"/>
      <c r="AA525" s="343"/>
      <c r="AB525" s="343"/>
      <c r="AC525" s="343"/>
      <c r="AD525" s="625">
        <f>VLOOKUP("УТ-00042752",'Выгрузка из 1С'!$B$4:$K$2000,10,FALSE)</f>
        <v>50640</v>
      </c>
      <c r="AE525" s="626"/>
      <c r="AF525" s="626"/>
      <c r="AG525" s="626"/>
      <c r="AH525" s="626"/>
      <c r="AI525" s="626"/>
      <c r="AJ525" s="626"/>
      <c r="AK525" s="627"/>
      <c r="AL525" s="723"/>
      <c r="AM525" s="721"/>
      <c r="AN525" s="721"/>
      <c r="AO525" s="721"/>
      <c r="AP525" s="721"/>
      <c r="AQ525" s="721"/>
      <c r="AR525" s="721"/>
      <c r="AS525" s="722"/>
      <c r="AW525" s="206"/>
      <c r="AX525" s="206"/>
    </row>
    <row r="526" spans="1:50" s="47" customFormat="1" ht="15" customHeight="1" x14ac:dyDescent="0.2">
      <c r="A526" s="46"/>
      <c r="B526" s="46"/>
      <c r="C526" s="342">
        <v>100</v>
      </c>
      <c r="D526" s="343"/>
      <c r="E526" s="343"/>
      <c r="F526" s="344"/>
      <c r="G526" s="733" t="s">
        <v>287</v>
      </c>
      <c r="H526" s="734"/>
      <c r="I526" s="734"/>
      <c r="J526" s="734"/>
      <c r="K526" s="734"/>
      <c r="L526" s="734"/>
      <c r="M526" s="734"/>
      <c r="N526" s="734"/>
      <c r="O526" s="734"/>
      <c r="P526" s="734"/>
      <c r="Q526" s="734"/>
      <c r="R526" s="343" t="s">
        <v>296</v>
      </c>
      <c r="S526" s="343"/>
      <c r="T526" s="343"/>
      <c r="U526" s="343"/>
      <c r="V526" s="343"/>
      <c r="W526" s="343"/>
      <c r="X526" s="343"/>
      <c r="Y526" s="343"/>
      <c r="Z526" s="343"/>
      <c r="AA526" s="343"/>
      <c r="AB526" s="343"/>
      <c r="AC526" s="343"/>
      <c r="AD526" s="625">
        <f>VLOOKUP("УТ-00042753",'Выгрузка из 1С'!$B$4:$K$2000,10,FALSE)</f>
        <v>64200</v>
      </c>
      <c r="AE526" s="626"/>
      <c r="AF526" s="626"/>
      <c r="AG526" s="626"/>
      <c r="AH526" s="626"/>
      <c r="AI526" s="626"/>
      <c r="AJ526" s="626"/>
      <c r="AK526" s="627"/>
      <c r="AL526" s="723"/>
      <c r="AM526" s="721"/>
      <c r="AN526" s="721"/>
      <c r="AO526" s="721"/>
      <c r="AP526" s="721"/>
      <c r="AQ526" s="721"/>
      <c r="AR526" s="721"/>
      <c r="AS526" s="722"/>
      <c r="AW526" s="206"/>
      <c r="AX526" s="206"/>
    </row>
    <row r="527" spans="1:50" s="47" customFormat="1" ht="15" customHeight="1" x14ac:dyDescent="0.2">
      <c r="A527" s="46"/>
      <c r="B527" s="46"/>
      <c r="C527" s="342">
        <v>150</v>
      </c>
      <c r="D527" s="343"/>
      <c r="E527" s="343"/>
      <c r="F527" s="344"/>
      <c r="G527" s="733" t="s">
        <v>287</v>
      </c>
      <c r="H527" s="734"/>
      <c r="I527" s="734"/>
      <c r="J527" s="734"/>
      <c r="K527" s="734"/>
      <c r="L527" s="734"/>
      <c r="M527" s="734"/>
      <c r="N527" s="734"/>
      <c r="O527" s="734"/>
      <c r="P527" s="734"/>
      <c r="Q527" s="734"/>
      <c r="R527" s="343" t="s">
        <v>297</v>
      </c>
      <c r="S527" s="343"/>
      <c r="T527" s="343"/>
      <c r="U527" s="343"/>
      <c r="V527" s="343"/>
      <c r="W527" s="343"/>
      <c r="X527" s="343"/>
      <c r="Y527" s="343"/>
      <c r="Z527" s="343"/>
      <c r="AA527" s="343"/>
      <c r="AB527" s="343"/>
      <c r="AC527" s="343"/>
      <c r="AD527" s="625">
        <f>VLOOKUP("УТ-00042754",'Выгрузка из 1С'!$B$4:$K$2000,10,FALSE)</f>
        <v>100200</v>
      </c>
      <c r="AE527" s="626"/>
      <c r="AF527" s="626"/>
      <c r="AG527" s="626"/>
      <c r="AH527" s="626"/>
      <c r="AI527" s="626"/>
      <c r="AJ527" s="626"/>
      <c r="AK527" s="627"/>
      <c r="AL527" s="723"/>
      <c r="AM527" s="721"/>
      <c r="AN527" s="721"/>
      <c r="AO527" s="721"/>
      <c r="AP527" s="721"/>
      <c r="AQ527" s="721"/>
      <c r="AR527" s="721"/>
      <c r="AS527" s="722"/>
      <c r="AW527" s="206"/>
      <c r="AX527" s="206"/>
    </row>
    <row r="528" spans="1:50" s="47" customFormat="1" ht="12.75" customHeight="1" x14ac:dyDescent="0.2">
      <c r="A528" s="46"/>
      <c r="B528" s="46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W528" s="206"/>
      <c r="AX528" s="206"/>
    </row>
    <row r="529" spans="1:50" s="19" customFormat="1" ht="21.75" customHeight="1" x14ac:dyDescent="0.25">
      <c r="A529" s="24"/>
      <c r="B529" s="24"/>
      <c r="C529" s="406" t="s">
        <v>701</v>
      </c>
      <c r="D529" s="406"/>
      <c r="E529" s="40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06"/>
      <c r="S529" s="406"/>
      <c r="T529" s="406"/>
      <c r="U529" s="406"/>
      <c r="V529" s="406"/>
      <c r="W529" s="406"/>
      <c r="X529" s="406"/>
      <c r="Y529" s="406"/>
      <c r="Z529" s="406"/>
      <c r="AA529" s="406"/>
      <c r="AB529" s="406"/>
      <c r="AC529" s="406"/>
      <c r="AD529" s="406"/>
      <c r="AE529" s="406"/>
      <c r="AF529" s="406"/>
      <c r="AG529" s="406"/>
      <c r="AH529" s="406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W529" s="25"/>
      <c r="AX529" s="25"/>
    </row>
    <row r="530" spans="1:50" s="19" customFormat="1" x14ac:dyDescent="0.25">
      <c r="A530" s="170"/>
      <c r="B530" s="170"/>
      <c r="C530" s="628" t="s">
        <v>700</v>
      </c>
      <c r="D530" s="628"/>
      <c r="E530" s="628"/>
      <c r="F530" s="628"/>
      <c r="G530" s="628"/>
      <c r="H530" s="628"/>
      <c r="I530" s="628"/>
      <c r="J530" s="628"/>
      <c r="K530" s="628"/>
      <c r="L530" s="628"/>
      <c r="M530" s="628"/>
      <c r="N530" s="628"/>
      <c r="O530" s="628"/>
      <c r="P530" s="628"/>
      <c r="Q530" s="628"/>
      <c r="R530" s="628"/>
      <c r="S530" s="628"/>
      <c r="T530" s="628"/>
      <c r="U530" s="628"/>
      <c r="V530" s="628"/>
      <c r="W530" s="628"/>
      <c r="X530" s="628"/>
      <c r="Y530" s="628"/>
      <c r="Z530" s="628"/>
      <c r="AA530" s="628"/>
      <c r="AB530" s="628"/>
      <c r="AC530" s="628"/>
      <c r="AD530" s="628"/>
      <c r="AE530" s="628"/>
      <c r="AF530" s="628"/>
      <c r="AG530" s="628"/>
      <c r="AH530" s="628"/>
      <c r="AI530" s="628"/>
      <c r="AJ530" s="628"/>
      <c r="AK530" s="628"/>
      <c r="AL530" s="628"/>
      <c r="AM530" s="628"/>
      <c r="AN530" s="628"/>
      <c r="AO530" s="628"/>
      <c r="AP530" s="628"/>
      <c r="AQ530" s="628"/>
      <c r="AR530" s="628"/>
      <c r="AS530" s="628"/>
      <c r="AW530" s="25"/>
      <c r="AX530" s="25"/>
    </row>
    <row r="531" spans="1:50" s="47" customFormat="1" ht="14.25" customHeight="1" x14ac:dyDescent="0.2">
      <c r="A531" s="46"/>
      <c r="B531" s="46"/>
      <c r="C531" s="471" t="s">
        <v>80</v>
      </c>
      <c r="D531" s="471"/>
      <c r="E531" s="471"/>
      <c r="F531" s="471"/>
      <c r="G531" s="471"/>
      <c r="H531" s="471"/>
      <c r="I531" s="471"/>
      <c r="J531" s="471"/>
      <c r="K531" s="471"/>
      <c r="L531" s="471"/>
      <c r="M531" s="471"/>
      <c r="N531" s="471"/>
      <c r="O531" s="471"/>
      <c r="P531" s="471"/>
      <c r="Q531" s="471"/>
      <c r="R531" s="471"/>
      <c r="S531" s="471"/>
      <c r="T531" s="471"/>
      <c r="U531" s="471"/>
      <c r="V531" s="471" t="s">
        <v>306</v>
      </c>
      <c r="W531" s="471"/>
      <c r="X531" s="471"/>
      <c r="Y531" s="474" t="s">
        <v>690</v>
      </c>
      <c r="Z531" s="474"/>
      <c r="AA531" s="474"/>
      <c r="AB531" s="454" t="s">
        <v>175</v>
      </c>
      <c r="AC531" s="454"/>
      <c r="AD531" s="454"/>
      <c r="AE531" s="454"/>
      <c r="AF531" s="454"/>
      <c r="AG531" s="454"/>
      <c r="AH531" s="454" t="s">
        <v>691</v>
      </c>
      <c r="AI531" s="454"/>
      <c r="AJ531" s="454"/>
      <c r="AK531" s="454"/>
      <c r="AL531" s="454"/>
      <c r="AM531" s="454"/>
      <c r="AN531" s="346" t="s">
        <v>907</v>
      </c>
      <c r="AO531" s="346"/>
      <c r="AP531" s="346"/>
      <c r="AQ531" s="346"/>
      <c r="AR531" s="346"/>
      <c r="AS531" s="346"/>
      <c r="AW531" s="206"/>
      <c r="AX531" s="206"/>
    </row>
    <row r="532" spans="1:50" s="47" customFormat="1" ht="14.25" customHeight="1" x14ac:dyDescent="0.2">
      <c r="A532" s="207"/>
      <c r="B532" s="46"/>
      <c r="C532" s="451" t="s">
        <v>1067</v>
      </c>
      <c r="D532" s="451"/>
      <c r="E532" s="451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451"/>
      <c r="V532" s="471">
        <v>20</v>
      </c>
      <c r="W532" s="471"/>
      <c r="X532" s="471"/>
      <c r="Y532" s="474">
        <v>2.5</v>
      </c>
      <c r="Z532" s="474"/>
      <c r="AA532" s="474"/>
      <c r="AB532" s="454" t="s">
        <v>686</v>
      </c>
      <c r="AC532" s="454"/>
      <c r="AD532" s="454"/>
      <c r="AE532" s="454"/>
      <c r="AF532" s="454"/>
      <c r="AG532" s="454"/>
      <c r="AH532" s="454">
        <v>190</v>
      </c>
      <c r="AI532" s="454"/>
      <c r="AJ532" s="454"/>
      <c r="AK532" s="454"/>
      <c r="AL532" s="454"/>
      <c r="AM532" s="454"/>
      <c r="AN532" s="345">
        <f>VLOOKUP("УТ-00096622",'Выгрузка из 1С'!$B$4:$K$2000,10,FALSE)</f>
        <v>0</v>
      </c>
      <c r="AO532" s="346"/>
      <c r="AP532" s="346"/>
      <c r="AQ532" s="346"/>
      <c r="AR532" s="346"/>
      <c r="AS532" s="346"/>
      <c r="AW532" s="206"/>
      <c r="AX532" s="206"/>
    </row>
    <row r="533" spans="1:50" s="47" customFormat="1" ht="14.25" customHeight="1" x14ac:dyDescent="0.2">
      <c r="A533" s="207"/>
      <c r="B533" s="46"/>
      <c r="C533" s="451" t="s">
        <v>1068</v>
      </c>
      <c r="D533" s="451"/>
      <c r="E533" s="451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451"/>
      <c r="V533" s="471">
        <v>25</v>
      </c>
      <c r="W533" s="471"/>
      <c r="X533" s="471"/>
      <c r="Y533" s="474">
        <v>3.5</v>
      </c>
      <c r="Z533" s="474"/>
      <c r="AA533" s="474"/>
      <c r="AB533" s="454" t="s">
        <v>687</v>
      </c>
      <c r="AC533" s="454"/>
      <c r="AD533" s="454"/>
      <c r="AE533" s="454"/>
      <c r="AF533" s="454"/>
      <c r="AG533" s="454"/>
      <c r="AH533" s="454">
        <v>260</v>
      </c>
      <c r="AI533" s="454"/>
      <c r="AJ533" s="454"/>
      <c r="AK533" s="454"/>
      <c r="AL533" s="454"/>
      <c r="AM533" s="454"/>
      <c r="AN533" s="345">
        <f>VLOOKUP("00-00198750",'Выгрузка из 1С'!$B$4:$K$2000,10,FALSE)</f>
        <v>0</v>
      </c>
      <c r="AO533" s="346"/>
      <c r="AP533" s="346"/>
      <c r="AQ533" s="346"/>
      <c r="AR533" s="346"/>
      <c r="AS533" s="346"/>
      <c r="AW533" s="206"/>
      <c r="AX533" s="206"/>
    </row>
    <row r="534" spans="1:50" s="47" customFormat="1" ht="14.25" customHeight="1" x14ac:dyDescent="0.2">
      <c r="A534" s="207"/>
      <c r="B534" s="46"/>
      <c r="C534" s="451" t="s">
        <v>1069</v>
      </c>
      <c r="D534" s="451"/>
      <c r="E534" s="451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451"/>
      <c r="V534" s="471">
        <v>32</v>
      </c>
      <c r="W534" s="471"/>
      <c r="X534" s="471"/>
      <c r="Y534" s="474">
        <v>6</v>
      </c>
      <c r="Z534" s="474"/>
      <c r="AA534" s="474"/>
      <c r="AB534" s="454" t="s">
        <v>689</v>
      </c>
      <c r="AC534" s="454"/>
      <c r="AD534" s="454"/>
      <c r="AE534" s="454"/>
      <c r="AF534" s="454"/>
      <c r="AG534" s="454"/>
      <c r="AH534" s="454">
        <v>260</v>
      </c>
      <c r="AI534" s="454"/>
      <c r="AJ534" s="454"/>
      <c r="AK534" s="454"/>
      <c r="AL534" s="454"/>
      <c r="AM534" s="454"/>
      <c r="AN534" s="345">
        <f>VLOOKUP("00-00198751",'Выгрузка из 1С'!$B$4:$K$2000,10,FALSE)</f>
        <v>0</v>
      </c>
      <c r="AO534" s="346"/>
      <c r="AP534" s="346"/>
      <c r="AQ534" s="346"/>
      <c r="AR534" s="346"/>
      <c r="AS534" s="346"/>
      <c r="AW534" s="206"/>
      <c r="AX534" s="206"/>
    </row>
    <row r="535" spans="1:50" s="47" customFormat="1" ht="14.25" customHeight="1" x14ac:dyDescent="0.2">
      <c r="A535" s="207"/>
      <c r="B535" s="46"/>
      <c r="C535" s="451" t="s">
        <v>1070</v>
      </c>
      <c r="D535" s="451"/>
      <c r="E535" s="451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471">
        <v>40</v>
      </c>
      <c r="W535" s="471"/>
      <c r="X535" s="471"/>
      <c r="Y535" s="474">
        <v>10</v>
      </c>
      <c r="Z535" s="474"/>
      <c r="AA535" s="474"/>
      <c r="AB535" s="454" t="s">
        <v>688</v>
      </c>
      <c r="AC535" s="454"/>
      <c r="AD535" s="454"/>
      <c r="AE535" s="454"/>
      <c r="AF535" s="454"/>
      <c r="AG535" s="454"/>
      <c r="AH535" s="454">
        <v>300</v>
      </c>
      <c r="AI535" s="454"/>
      <c r="AJ535" s="454"/>
      <c r="AK535" s="454"/>
      <c r="AL535" s="454"/>
      <c r="AM535" s="454"/>
      <c r="AN535" s="345">
        <f>VLOOKUP("00-00198752",'Выгрузка из 1С'!$B$4:$K$2000,10,FALSE)</f>
        <v>0</v>
      </c>
      <c r="AO535" s="346"/>
      <c r="AP535" s="346"/>
      <c r="AQ535" s="346"/>
      <c r="AR535" s="346"/>
      <c r="AS535" s="346"/>
      <c r="AW535" s="206"/>
      <c r="AX535" s="206"/>
    </row>
    <row r="536" spans="1:50" s="47" customFormat="1" ht="14.25" customHeight="1" x14ac:dyDescent="0.2">
      <c r="A536" s="207"/>
      <c r="B536" s="46"/>
      <c r="C536" s="451" t="s">
        <v>1071</v>
      </c>
      <c r="D536" s="451"/>
      <c r="E536" s="451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451"/>
      <c r="V536" s="471">
        <v>20</v>
      </c>
      <c r="W536" s="471"/>
      <c r="X536" s="471"/>
      <c r="Y536" s="474">
        <v>2.5</v>
      </c>
      <c r="Z536" s="474"/>
      <c r="AA536" s="474"/>
      <c r="AB536" s="454" t="s">
        <v>686</v>
      </c>
      <c r="AC536" s="454"/>
      <c r="AD536" s="454"/>
      <c r="AE536" s="454"/>
      <c r="AF536" s="454"/>
      <c r="AG536" s="454"/>
      <c r="AH536" s="454">
        <v>190</v>
      </c>
      <c r="AI536" s="454"/>
      <c r="AJ536" s="454"/>
      <c r="AK536" s="454"/>
      <c r="AL536" s="454"/>
      <c r="AM536" s="454"/>
      <c r="AN536" s="345">
        <f>VLOOKUP("00-00198753",'Выгрузка из 1С'!$B$4:$K$2000,10,FALSE)</f>
        <v>0</v>
      </c>
      <c r="AO536" s="346"/>
      <c r="AP536" s="346"/>
      <c r="AQ536" s="346"/>
      <c r="AR536" s="346"/>
      <c r="AS536" s="346"/>
      <c r="AW536" s="206"/>
      <c r="AX536" s="206"/>
    </row>
    <row r="537" spans="1:50" s="47" customFormat="1" ht="14.25" customHeight="1" x14ac:dyDescent="0.2">
      <c r="A537" s="207"/>
      <c r="B537" s="46"/>
      <c r="C537" s="451" t="s">
        <v>1072</v>
      </c>
      <c r="D537" s="451"/>
      <c r="E537" s="451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451"/>
      <c r="V537" s="471">
        <v>25</v>
      </c>
      <c r="W537" s="471"/>
      <c r="X537" s="471"/>
      <c r="Y537" s="474">
        <v>3.5</v>
      </c>
      <c r="Z537" s="474"/>
      <c r="AA537" s="474"/>
      <c r="AB537" s="454" t="s">
        <v>687</v>
      </c>
      <c r="AC537" s="454"/>
      <c r="AD537" s="454"/>
      <c r="AE537" s="454"/>
      <c r="AF537" s="454"/>
      <c r="AG537" s="454"/>
      <c r="AH537" s="454">
        <v>260</v>
      </c>
      <c r="AI537" s="454"/>
      <c r="AJ537" s="454"/>
      <c r="AK537" s="454"/>
      <c r="AL537" s="454"/>
      <c r="AM537" s="454"/>
      <c r="AN537" s="345">
        <f>VLOOKUP("00-00198754",'Выгрузка из 1С'!$B$4:$K$2000,10,FALSE)</f>
        <v>0</v>
      </c>
      <c r="AO537" s="346"/>
      <c r="AP537" s="346"/>
      <c r="AQ537" s="346"/>
      <c r="AR537" s="346"/>
      <c r="AS537" s="346"/>
      <c r="AW537" s="206"/>
      <c r="AX537" s="206"/>
    </row>
    <row r="538" spans="1:50" s="19" customFormat="1" ht="14.25" customHeight="1" x14ac:dyDescent="0.25">
      <c r="A538" s="207"/>
      <c r="B538" s="170"/>
      <c r="C538" s="451" t="s">
        <v>1073</v>
      </c>
      <c r="D538" s="451"/>
      <c r="E538" s="451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451"/>
      <c r="V538" s="471">
        <v>32</v>
      </c>
      <c r="W538" s="471"/>
      <c r="X538" s="471"/>
      <c r="Y538" s="474">
        <v>6</v>
      </c>
      <c r="Z538" s="474"/>
      <c r="AA538" s="474"/>
      <c r="AB538" s="454" t="s">
        <v>689</v>
      </c>
      <c r="AC538" s="454"/>
      <c r="AD538" s="454"/>
      <c r="AE538" s="454"/>
      <c r="AF538" s="454"/>
      <c r="AG538" s="454"/>
      <c r="AH538" s="454">
        <v>260</v>
      </c>
      <c r="AI538" s="454"/>
      <c r="AJ538" s="454"/>
      <c r="AK538" s="454"/>
      <c r="AL538" s="454"/>
      <c r="AM538" s="454"/>
      <c r="AN538" s="345">
        <f>VLOOKUP("00-00198755",'Выгрузка из 1С'!$B$4:$K$2000,10,FALSE)</f>
        <v>0</v>
      </c>
      <c r="AO538" s="346"/>
      <c r="AP538" s="346"/>
      <c r="AQ538" s="346"/>
      <c r="AR538" s="346"/>
      <c r="AS538" s="346"/>
      <c r="AW538" s="25"/>
      <c r="AX538" s="25"/>
    </row>
    <row r="539" spans="1:50" s="19" customFormat="1" ht="14.25" customHeight="1" x14ac:dyDescent="0.25">
      <c r="A539" s="207"/>
      <c r="B539" s="170"/>
      <c r="C539" s="451" t="s">
        <v>1074</v>
      </c>
      <c r="D539" s="451"/>
      <c r="E539" s="451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451"/>
      <c r="V539" s="471">
        <v>40</v>
      </c>
      <c r="W539" s="471"/>
      <c r="X539" s="471"/>
      <c r="Y539" s="474">
        <v>10</v>
      </c>
      <c r="Z539" s="474"/>
      <c r="AA539" s="474"/>
      <c r="AB539" s="454" t="s">
        <v>688</v>
      </c>
      <c r="AC539" s="454"/>
      <c r="AD539" s="454"/>
      <c r="AE539" s="454"/>
      <c r="AF539" s="454"/>
      <c r="AG539" s="454"/>
      <c r="AH539" s="454">
        <v>300</v>
      </c>
      <c r="AI539" s="454"/>
      <c r="AJ539" s="454"/>
      <c r="AK539" s="454"/>
      <c r="AL539" s="454"/>
      <c r="AM539" s="454"/>
      <c r="AN539" s="345">
        <f>VLOOKUP("00-00198756",'Выгрузка из 1С'!$B$4:$K$2000,10,FALSE)</f>
        <v>0</v>
      </c>
      <c r="AO539" s="346"/>
      <c r="AP539" s="346"/>
      <c r="AQ539" s="346"/>
      <c r="AR539" s="346"/>
      <c r="AS539" s="346"/>
      <c r="AW539" s="25"/>
      <c r="AX539" s="25"/>
    </row>
    <row r="540" spans="1:50" s="19" customFormat="1" ht="13.5" customHeight="1" x14ac:dyDescent="0.25">
      <c r="A540" s="208"/>
      <c r="B540" s="170"/>
      <c r="C540" s="209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175"/>
      <c r="W540" s="174"/>
      <c r="X540" s="174"/>
      <c r="Y540" s="175"/>
      <c r="Z540" s="174"/>
      <c r="AA540" s="174"/>
      <c r="AB540" s="175"/>
      <c r="AC540" s="174"/>
      <c r="AD540" s="174"/>
      <c r="AE540" s="175"/>
      <c r="AF540" s="174"/>
      <c r="AG540" s="174"/>
      <c r="AH540" s="175"/>
      <c r="AI540" s="174"/>
      <c r="AJ540" s="174"/>
      <c r="AK540" s="175"/>
      <c r="AL540" s="174"/>
      <c r="AM540" s="174"/>
      <c r="AN540" s="175"/>
      <c r="AO540" s="175"/>
      <c r="AP540" s="175"/>
      <c r="AQ540" s="175"/>
      <c r="AR540" s="175"/>
      <c r="AS540" s="175"/>
      <c r="AW540" s="25"/>
      <c r="AX540" s="25"/>
    </row>
    <row r="541" spans="1:50" s="19" customFormat="1" ht="14.25" customHeight="1" x14ac:dyDescent="0.25">
      <c r="A541" s="208"/>
      <c r="B541" s="170"/>
      <c r="C541" s="470" t="s">
        <v>692</v>
      </c>
      <c r="D541" s="470"/>
      <c r="E541" s="470"/>
      <c r="F541" s="470"/>
      <c r="G541" s="470"/>
      <c r="H541" s="470"/>
      <c r="I541" s="470"/>
      <c r="J541" s="470"/>
      <c r="K541" s="470"/>
      <c r="L541" s="470"/>
      <c r="M541" s="470"/>
      <c r="N541" s="470"/>
      <c r="O541" s="470"/>
      <c r="P541" s="470"/>
      <c r="Q541" s="470"/>
      <c r="R541" s="470"/>
      <c r="S541" s="470"/>
      <c r="T541" s="470"/>
      <c r="U541" s="470"/>
      <c r="V541" s="470"/>
      <c r="W541" s="470"/>
      <c r="X541" s="470"/>
      <c r="Y541" s="470"/>
      <c r="Z541" s="470"/>
      <c r="AA541" s="470"/>
      <c r="AB541" s="470"/>
      <c r="AC541" s="470"/>
      <c r="AD541" s="470"/>
      <c r="AE541" s="470"/>
      <c r="AF541" s="470"/>
      <c r="AG541" s="470"/>
      <c r="AH541" s="470"/>
      <c r="AI541" s="470"/>
      <c r="AJ541" s="470"/>
      <c r="AK541" s="470"/>
      <c r="AL541" s="470"/>
      <c r="AM541" s="470"/>
      <c r="AN541" s="470"/>
      <c r="AO541" s="470"/>
      <c r="AP541" s="470"/>
      <c r="AQ541" s="470"/>
      <c r="AR541" s="470"/>
      <c r="AS541" s="470"/>
      <c r="AW541" s="25"/>
      <c r="AX541" s="25"/>
    </row>
    <row r="542" spans="1:50" s="19" customFormat="1" ht="14.25" customHeight="1" x14ac:dyDescent="0.25">
      <c r="A542" s="208"/>
      <c r="B542" s="170"/>
      <c r="C542" s="471" t="s">
        <v>80</v>
      </c>
      <c r="D542" s="471"/>
      <c r="E542" s="471"/>
      <c r="F542" s="471"/>
      <c r="G542" s="471"/>
      <c r="H542" s="471"/>
      <c r="I542" s="471"/>
      <c r="J542" s="471"/>
      <c r="K542" s="471"/>
      <c r="L542" s="471"/>
      <c r="M542" s="471"/>
      <c r="N542" s="471"/>
      <c r="O542" s="471"/>
      <c r="P542" s="471"/>
      <c r="Q542" s="471"/>
      <c r="R542" s="471"/>
      <c r="S542" s="471"/>
      <c r="T542" s="471"/>
      <c r="U542" s="471"/>
      <c r="V542" s="471"/>
      <c r="W542" s="471"/>
      <c r="X542" s="471"/>
      <c r="Y542" s="471"/>
      <c r="Z542" s="471"/>
      <c r="AA542" s="471"/>
      <c r="AB542" s="471"/>
      <c r="AC542" s="471"/>
      <c r="AD542" s="471"/>
      <c r="AE542" s="471"/>
      <c r="AF542" s="471"/>
      <c r="AG542" s="471"/>
      <c r="AH542" s="454" t="s">
        <v>691</v>
      </c>
      <c r="AI542" s="454"/>
      <c r="AJ542" s="454"/>
      <c r="AK542" s="454"/>
      <c r="AL542" s="454"/>
      <c r="AM542" s="454"/>
      <c r="AN542" s="346" t="s">
        <v>907</v>
      </c>
      <c r="AO542" s="346"/>
      <c r="AP542" s="346"/>
      <c r="AQ542" s="346"/>
      <c r="AR542" s="346"/>
      <c r="AS542" s="346"/>
      <c r="AW542" s="25"/>
      <c r="AX542" s="25"/>
    </row>
    <row r="543" spans="1:50" s="19" customFormat="1" ht="14.25" customHeight="1" x14ac:dyDescent="0.25">
      <c r="A543" s="207"/>
      <c r="B543" s="170"/>
      <c r="C543" s="473" t="s">
        <v>693</v>
      </c>
      <c r="D543" s="473"/>
      <c r="E543" s="473"/>
      <c r="F543" s="473"/>
      <c r="G543" s="473"/>
      <c r="H543" s="473"/>
      <c r="I543" s="473"/>
      <c r="J543" s="473"/>
      <c r="K543" s="473"/>
      <c r="L543" s="473"/>
      <c r="M543" s="473"/>
      <c r="N543" s="473"/>
      <c r="O543" s="473"/>
      <c r="P543" s="473"/>
      <c r="Q543" s="473"/>
      <c r="R543" s="473"/>
      <c r="S543" s="473"/>
      <c r="T543" s="473"/>
      <c r="U543" s="473"/>
      <c r="V543" s="473"/>
      <c r="W543" s="473"/>
      <c r="X543" s="473"/>
      <c r="Y543" s="473"/>
      <c r="Z543" s="473"/>
      <c r="AA543" s="473"/>
      <c r="AB543" s="473"/>
      <c r="AC543" s="473"/>
      <c r="AD543" s="473"/>
      <c r="AE543" s="473"/>
      <c r="AF543" s="473"/>
      <c r="AG543" s="473"/>
      <c r="AH543" s="471">
        <v>20</v>
      </c>
      <c r="AI543" s="471"/>
      <c r="AJ543" s="471"/>
      <c r="AK543" s="471"/>
      <c r="AL543" s="471"/>
      <c r="AM543" s="471"/>
      <c r="AN543" s="345">
        <f>VLOOKUP("УТ-00096553",'Выгрузка из 1С'!$B$4:$K$2000,10,FALSE)</f>
        <v>0</v>
      </c>
      <c r="AO543" s="346"/>
      <c r="AP543" s="346"/>
      <c r="AQ543" s="346"/>
      <c r="AR543" s="346"/>
      <c r="AS543" s="346"/>
      <c r="AW543" s="25"/>
      <c r="AX543" s="25"/>
    </row>
    <row r="544" spans="1:50" s="19" customFormat="1" ht="14.25" customHeight="1" x14ac:dyDescent="0.25">
      <c r="A544" s="207"/>
      <c r="B544" s="170"/>
      <c r="C544" s="473" t="s">
        <v>693</v>
      </c>
      <c r="D544" s="473"/>
      <c r="E544" s="473"/>
      <c r="F544" s="473"/>
      <c r="G544" s="473"/>
      <c r="H544" s="473"/>
      <c r="I544" s="473"/>
      <c r="J544" s="473"/>
      <c r="K544" s="473"/>
      <c r="L544" s="473"/>
      <c r="M544" s="473"/>
      <c r="N544" s="473"/>
      <c r="O544" s="473"/>
      <c r="P544" s="473"/>
      <c r="Q544" s="473"/>
      <c r="R544" s="473"/>
      <c r="S544" s="473"/>
      <c r="T544" s="473"/>
      <c r="U544" s="473"/>
      <c r="V544" s="473"/>
      <c r="W544" s="473"/>
      <c r="X544" s="473"/>
      <c r="Y544" s="473"/>
      <c r="Z544" s="473"/>
      <c r="AA544" s="473"/>
      <c r="AB544" s="473"/>
      <c r="AC544" s="473"/>
      <c r="AD544" s="473"/>
      <c r="AE544" s="473"/>
      <c r="AF544" s="473"/>
      <c r="AG544" s="473"/>
      <c r="AH544" s="471">
        <v>25</v>
      </c>
      <c r="AI544" s="471"/>
      <c r="AJ544" s="471"/>
      <c r="AK544" s="471"/>
      <c r="AL544" s="471"/>
      <c r="AM544" s="471"/>
      <c r="AN544" s="345">
        <f>VLOOKUP("УТ-00042601",'Выгрузка из 1С'!$B$4:$K$2000,10,FALSE)</f>
        <v>0</v>
      </c>
      <c r="AO544" s="346"/>
      <c r="AP544" s="346"/>
      <c r="AQ544" s="346"/>
      <c r="AR544" s="346"/>
      <c r="AS544" s="346"/>
      <c r="AW544" s="25"/>
      <c r="AX544" s="25"/>
    </row>
    <row r="545" spans="1:50" s="19" customFormat="1" ht="14.25" customHeight="1" x14ac:dyDescent="0.25">
      <c r="A545" s="207"/>
      <c r="B545" s="170"/>
      <c r="C545" s="473" t="s">
        <v>693</v>
      </c>
      <c r="D545" s="473"/>
      <c r="E545" s="473"/>
      <c r="F545" s="473"/>
      <c r="G545" s="473"/>
      <c r="H545" s="473"/>
      <c r="I545" s="473"/>
      <c r="J545" s="473"/>
      <c r="K545" s="473"/>
      <c r="L545" s="473"/>
      <c r="M545" s="473"/>
      <c r="N545" s="473"/>
      <c r="O545" s="473"/>
      <c r="P545" s="473"/>
      <c r="Q545" s="473"/>
      <c r="R545" s="473"/>
      <c r="S545" s="473"/>
      <c r="T545" s="473"/>
      <c r="U545" s="473"/>
      <c r="V545" s="473"/>
      <c r="W545" s="473"/>
      <c r="X545" s="473"/>
      <c r="Y545" s="473"/>
      <c r="Z545" s="473"/>
      <c r="AA545" s="473"/>
      <c r="AB545" s="473"/>
      <c r="AC545" s="473"/>
      <c r="AD545" s="473"/>
      <c r="AE545" s="473"/>
      <c r="AF545" s="473"/>
      <c r="AG545" s="473"/>
      <c r="AH545" s="471">
        <v>32</v>
      </c>
      <c r="AI545" s="471"/>
      <c r="AJ545" s="471"/>
      <c r="AK545" s="471"/>
      <c r="AL545" s="471"/>
      <c r="AM545" s="471"/>
      <c r="AN545" s="345">
        <f>VLOOKUP("УТ-00096554",'Выгрузка из 1С'!$B$4:$K$2000,10,FALSE)</f>
        <v>0</v>
      </c>
      <c r="AO545" s="346"/>
      <c r="AP545" s="346"/>
      <c r="AQ545" s="346"/>
      <c r="AR545" s="346"/>
      <c r="AS545" s="346"/>
      <c r="AW545" s="25"/>
      <c r="AX545" s="25"/>
    </row>
    <row r="546" spans="1:50" s="19" customFormat="1" ht="14.25" customHeight="1" x14ac:dyDescent="0.25">
      <c r="A546" s="207"/>
      <c r="B546" s="170"/>
      <c r="C546" s="473" t="s">
        <v>693</v>
      </c>
      <c r="D546" s="473"/>
      <c r="E546" s="473"/>
      <c r="F546" s="473"/>
      <c r="G546" s="473"/>
      <c r="H546" s="473"/>
      <c r="I546" s="473"/>
      <c r="J546" s="473"/>
      <c r="K546" s="473"/>
      <c r="L546" s="473"/>
      <c r="M546" s="473"/>
      <c r="N546" s="473"/>
      <c r="O546" s="473"/>
      <c r="P546" s="473"/>
      <c r="Q546" s="473"/>
      <c r="R546" s="473"/>
      <c r="S546" s="473"/>
      <c r="T546" s="473"/>
      <c r="U546" s="473"/>
      <c r="V546" s="473"/>
      <c r="W546" s="473"/>
      <c r="X546" s="473"/>
      <c r="Y546" s="473"/>
      <c r="Z546" s="473"/>
      <c r="AA546" s="473"/>
      <c r="AB546" s="473"/>
      <c r="AC546" s="473"/>
      <c r="AD546" s="473"/>
      <c r="AE546" s="473"/>
      <c r="AF546" s="473"/>
      <c r="AG546" s="473"/>
      <c r="AH546" s="471">
        <v>40</v>
      </c>
      <c r="AI546" s="471"/>
      <c r="AJ546" s="471"/>
      <c r="AK546" s="471"/>
      <c r="AL546" s="471"/>
      <c r="AM546" s="471"/>
      <c r="AN546" s="345">
        <f>VLOOKUP("УТ-00042602",'Выгрузка из 1С'!$B$4:$K$2000,10,FALSE)</f>
        <v>0</v>
      </c>
      <c r="AO546" s="346"/>
      <c r="AP546" s="346"/>
      <c r="AQ546" s="346"/>
      <c r="AR546" s="346"/>
      <c r="AS546" s="346"/>
      <c r="AW546" s="25"/>
      <c r="AX546" s="25"/>
    </row>
    <row r="547" spans="1:50" s="19" customFormat="1" ht="14.25" customHeight="1" x14ac:dyDescent="0.25">
      <c r="A547" s="208"/>
      <c r="B547" s="170"/>
      <c r="C547" s="209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175"/>
      <c r="W547" s="174"/>
      <c r="X547" s="174"/>
      <c r="Y547" s="175"/>
      <c r="Z547" s="174"/>
      <c r="AA547" s="174"/>
      <c r="AB547" s="175"/>
      <c r="AC547" s="174"/>
      <c r="AD547" s="174"/>
      <c r="AE547" s="175"/>
      <c r="AF547" s="174"/>
      <c r="AG547" s="174"/>
      <c r="AH547" s="175"/>
      <c r="AI547" s="174"/>
      <c r="AJ547" s="174"/>
      <c r="AK547" s="175"/>
      <c r="AL547" s="174"/>
      <c r="AM547" s="174"/>
      <c r="AN547" s="175"/>
      <c r="AO547" s="175"/>
      <c r="AP547" s="175"/>
      <c r="AQ547" s="175"/>
      <c r="AR547" s="175"/>
      <c r="AS547" s="175"/>
      <c r="AW547" s="25"/>
      <c r="AX547" s="25"/>
    </row>
    <row r="548" spans="1:50" s="19" customFormat="1" ht="14.25" customHeight="1" x14ac:dyDescent="0.25">
      <c r="A548" s="208"/>
      <c r="B548" s="170"/>
      <c r="C548" s="470" t="s">
        <v>694</v>
      </c>
      <c r="D548" s="470"/>
      <c r="E548" s="470"/>
      <c r="F548" s="470"/>
      <c r="G548" s="470"/>
      <c r="H548" s="470"/>
      <c r="I548" s="470"/>
      <c r="J548" s="470"/>
      <c r="K548" s="470"/>
      <c r="L548" s="470"/>
      <c r="M548" s="470"/>
      <c r="N548" s="470"/>
      <c r="O548" s="470"/>
      <c r="P548" s="470"/>
      <c r="Q548" s="470"/>
      <c r="R548" s="470"/>
      <c r="S548" s="470"/>
      <c r="T548" s="470"/>
      <c r="U548" s="470"/>
      <c r="V548" s="470"/>
      <c r="W548" s="470"/>
      <c r="X548" s="470"/>
      <c r="Y548" s="470"/>
      <c r="Z548" s="470"/>
      <c r="AA548" s="470"/>
      <c r="AB548" s="470"/>
      <c r="AC548" s="470"/>
      <c r="AD548" s="470"/>
      <c r="AE548" s="470"/>
      <c r="AF548" s="470"/>
      <c r="AG548" s="470"/>
      <c r="AH548" s="470"/>
      <c r="AI548" s="470"/>
      <c r="AJ548" s="470"/>
      <c r="AK548" s="470"/>
      <c r="AL548" s="470"/>
      <c r="AM548" s="470"/>
      <c r="AN548" s="470"/>
      <c r="AO548" s="470"/>
      <c r="AP548" s="470"/>
      <c r="AQ548" s="470"/>
      <c r="AR548" s="470"/>
      <c r="AS548" s="470"/>
      <c r="AW548" s="25"/>
      <c r="AX548" s="25"/>
    </row>
    <row r="549" spans="1:50" s="19" customFormat="1" ht="14.25" customHeight="1" x14ac:dyDescent="0.25">
      <c r="A549" s="170"/>
      <c r="B549" s="170"/>
      <c r="C549" s="471" t="s">
        <v>80</v>
      </c>
      <c r="D549" s="471"/>
      <c r="E549" s="471"/>
      <c r="F549" s="471"/>
      <c r="G549" s="471"/>
      <c r="H549" s="471"/>
      <c r="I549" s="471"/>
      <c r="J549" s="471"/>
      <c r="K549" s="471"/>
      <c r="L549" s="471"/>
      <c r="M549" s="471"/>
      <c r="N549" s="471"/>
      <c r="O549" s="471"/>
      <c r="P549" s="471"/>
      <c r="Q549" s="471"/>
      <c r="R549" s="471"/>
      <c r="S549" s="471"/>
      <c r="T549" s="471"/>
      <c r="U549" s="471"/>
      <c r="V549" s="471"/>
      <c r="W549" s="471"/>
      <c r="X549" s="471"/>
      <c r="Y549" s="471"/>
      <c r="Z549" s="471"/>
      <c r="AA549" s="471"/>
      <c r="AB549" s="471"/>
      <c r="AC549" s="471"/>
      <c r="AD549" s="471"/>
      <c r="AE549" s="471"/>
      <c r="AF549" s="471"/>
      <c r="AG549" s="471"/>
      <c r="AH549" s="408" t="s">
        <v>306</v>
      </c>
      <c r="AI549" s="408"/>
      <c r="AJ549" s="408"/>
      <c r="AK549" s="408"/>
      <c r="AL549" s="408"/>
      <c r="AM549" s="408"/>
      <c r="AN549" s="346" t="s">
        <v>907</v>
      </c>
      <c r="AO549" s="346"/>
      <c r="AP549" s="346"/>
      <c r="AQ549" s="346"/>
      <c r="AR549" s="346"/>
      <c r="AS549" s="346"/>
      <c r="AW549" s="25"/>
      <c r="AX549" s="25"/>
    </row>
    <row r="550" spans="1:50" s="19" customFormat="1" ht="14.25" customHeight="1" x14ac:dyDescent="0.25">
      <c r="A550" s="207"/>
      <c r="B550" s="170"/>
      <c r="C550" s="473" t="s">
        <v>696</v>
      </c>
      <c r="D550" s="473"/>
      <c r="E550" s="473"/>
      <c r="F550" s="473"/>
      <c r="G550" s="473"/>
      <c r="H550" s="473"/>
      <c r="I550" s="473"/>
      <c r="J550" s="473"/>
      <c r="K550" s="473"/>
      <c r="L550" s="473"/>
      <c r="M550" s="473"/>
      <c r="N550" s="473"/>
      <c r="O550" s="473"/>
      <c r="P550" s="473"/>
      <c r="Q550" s="473"/>
      <c r="R550" s="473"/>
      <c r="S550" s="473"/>
      <c r="T550" s="473"/>
      <c r="U550" s="473"/>
      <c r="V550" s="473"/>
      <c r="W550" s="473"/>
      <c r="X550" s="473"/>
      <c r="Y550" s="473"/>
      <c r="Z550" s="473"/>
      <c r="AA550" s="473"/>
      <c r="AB550" s="473"/>
      <c r="AC550" s="473"/>
      <c r="AD550" s="473"/>
      <c r="AE550" s="473"/>
      <c r="AF550" s="473"/>
      <c r="AG550" s="473"/>
      <c r="AH550" s="471">
        <v>20</v>
      </c>
      <c r="AI550" s="471"/>
      <c r="AJ550" s="471"/>
      <c r="AK550" s="471"/>
      <c r="AL550" s="471"/>
      <c r="AM550" s="471"/>
      <c r="AN550" s="345">
        <f>VLOOKUP("00-00034990",'Выгрузка из 1С'!$B$4:$K$2000,10,FALSE)</f>
        <v>0</v>
      </c>
      <c r="AO550" s="346"/>
      <c r="AP550" s="346"/>
      <c r="AQ550" s="346"/>
      <c r="AR550" s="346"/>
      <c r="AS550" s="346"/>
      <c r="AW550" s="25"/>
      <c r="AX550" s="25"/>
    </row>
    <row r="551" spans="1:50" s="19" customFormat="1" ht="14.25" customHeight="1" x14ac:dyDescent="0.25">
      <c r="A551" s="207"/>
      <c r="B551" s="170"/>
      <c r="C551" s="473" t="s">
        <v>697</v>
      </c>
      <c r="D551" s="473"/>
      <c r="E551" s="473"/>
      <c r="F551" s="473"/>
      <c r="G551" s="473"/>
      <c r="H551" s="473"/>
      <c r="I551" s="473"/>
      <c r="J551" s="473"/>
      <c r="K551" s="473"/>
      <c r="L551" s="473"/>
      <c r="M551" s="473"/>
      <c r="N551" s="473"/>
      <c r="O551" s="473"/>
      <c r="P551" s="473"/>
      <c r="Q551" s="473"/>
      <c r="R551" s="473"/>
      <c r="S551" s="473"/>
      <c r="T551" s="473"/>
      <c r="U551" s="473"/>
      <c r="V551" s="473"/>
      <c r="W551" s="473"/>
      <c r="X551" s="473"/>
      <c r="Y551" s="473"/>
      <c r="Z551" s="473"/>
      <c r="AA551" s="473"/>
      <c r="AB551" s="473"/>
      <c r="AC551" s="473"/>
      <c r="AD551" s="473"/>
      <c r="AE551" s="473"/>
      <c r="AF551" s="473"/>
      <c r="AG551" s="473"/>
      <c r="AH551" s="471">
        <v>25</v>
      </c>
      <c r="AI551" s="471"/>
      <c r="AJ551" s="471"/>
      <c r="AK551" s="471"/>
      <c r="AL551" s="471"/>
      <c r="AM551" s="471"/>
      <c r="AN551" s="345">
        <f>VLOOKUP("УТ-00096557",'Выгрузка из 1С'!$B$4:$K$2000,10,FALSE)</f>
        <v>0</v>
      </c>
      <c r="AO551" s="346"/>
      <c r="AP551" s="346"/>
      <c r="AQ551" s="346"/>
      <c r="AR551" s="346"/>
      <c r="AS551" s="346"/>
      <c r="AW551" s="25"/>
      <c r="AX551" s="25"/>
    </row>
    <row r="552" spans="1:50" s="19" customFormat="1" ht="14.25" customHeight="1" x14ac:dyDescent="0.25">
      <c r="A552" s="207"/>
      <c r="B552" s="170"/>
      <c r="C552" s="473" t="s">
        <v>698</v>
      </c>
      <c r="D552" s="473"/>
      <c r="E552" s="473"/>
      <c r="F552" s="473"/>
      <c r="G552" s="473"/>
      <c r="H552" s="473"/>
      <c r="I552" s="473"/>
      <c r="J552" s="473"/>
      <c r="K552" s="473"/>
      <c r="L552" s="473"/>
      <c r="M552" s="473"/>
      <c r="N552" s="473"/>
      <c r="O552" s="473"/>
      <c r="P552" s="473"/>
      <c r="Q552" s="473"/>
      <c r="R552" s="473"/>
      <c r="S552" s="473"/>
      <c r="T552" s="473"/>
      <c r="U552" s="473"/>
      <c r="V552" s="473"/>
      <c r="W552" s="473"/>
      <c r="X552" s="473"/>
      <c r="Y552" s="473"/>
      <c r="Z552" s="473"/>
      <c r="AA552" s="473"/>
      <c r="AB552" s="473"/>
      <c r="AC552" s="473"/>
      <c r="AD552" s="473"/>
      <c r="AE552" s="473"/>
      <c r="AF552" s="473"/>
      <c r="AG552" s="473"/>
      <c r="AH552" s="471">
        <v>32</v>
      </c>
      <c r="AI552" s="471"/>
      <c r="AJ552" s="471"/>
      <c r="AK552" s="471"/>
      <c r="AL552" s="471"/>
      <c r="AM552" s="471"/>
      <c r="AN552" s="345">
        <f>VLOOKUP("УТ-00096558",'Выгрузка из 1С'!$B$4:$K$2000,10,FALSE)</f>
        <v>0</v>
      </c>
      <c r="AO552" s="346"/>
      <c r="AP552" s="346"/>
      <c r="AQ552" s="346"/>
      <c r="AR552" s="346"/>
      <c r="AS552" s="346"/>
      <c r="AW552" s="25"/>
      <c r="AX552" s="25"/>
    </row>
    <row r="553" spans="1:50" s="19" customFormat="1" ht="14.25" customHeight="1" x14ac:dyDescent="0.25">
      <c r="A553" s="207"/>
      <c r="B553" s="170"/>
      <c r="C553" s="473" t="s">
        <v>699</v>
      </c>
      <c r="D553" s="473"/>
      <c r="E553" s="473"/>
      <c r="F553" s="473"/>
      <c r="G553" s="473"/>
      <c r="H553" s="473"/>
      <c r="I553" s="473"/>
      <c r="J553" s="473"/>
      <c r="K553" s="473"/>
      <c r="L553" s="473"/>
      <c r="M553" s="473"/>
      <c r="N553" s="473"/>
      <c r="O553" s="473"/>
      <c r="P553" s="473"/>
      <c r="Q553" s="473"/>
      <c r="R553" s="473"/>
      <c r="S553" s="473"/>
      <c r="T553" s="473"/>
      <c r="U553" s="473"/>
      <c r="V553" s="473"/>
      <c r="W553" s="473"/>
      <c r="X553" s="473"/>
      <c r="Y553" s="473"/>
      <c r="Z553" s="473"/>
      <c r="AA553" s="473"/>
      <c r="AB553" s="473"/>
      <c r="AC553" s="473"/>
      <c r="AD553" s="473"/>
      <c r="AE553" s="473"/>
      <c r="AF553" s="473"/>
      <c r="AG553" s="473"/>
      <c r="AH553" s="471">
        <v>40</v>
      </c>
      <c r="AI553" s="471"/>
      <c r="AJ553" s="471"/>
      <c r="AK553" s="471"/>
      <c r="AL553" s="471"/>
      <c r="AM553" s="471"/>
      <c r="AN553" s="345">
        <f>VLOOKUP("УТ-00096559",'Выгрузка из 1С'!$B$4:$K$2000,10,FALSE)</f>
        <v>0</v>
      </c>
      <c r="AO553" s="346"/>
      <c r="AP553" s="346"/>
      <c r="AQ553" s="346"/>
      <c r="AR553" s="346"/>
      <c r="AS553" s="346"/>
      <c r="AW553" s="25"/>
      <c r="AX553" s="25"/>
    </row>
    <row r="554" spans="1:50" s="19" customFormat="1" ht="9.75" customHeight="1" x14ac:dyDescent="0.25">
      <c r="A554" s="170"/>
      <c r="B554" s="170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175"/>
      <c r="AI554" s="174"/>
      <c r="AJ554" s="174"/>
      <c r="AK554" s="175"/>
      <c r="AL554" s="174"/>
      <c r="AM554" s="174"/>
      <c r="AN554" s="175"/>
      <c r="AO554" s="175"/>
      <c r="AP554" s="175"/>
      <c r="AQ554" s="175"/>
      <c r="AR554" s="175"/>
      <c r="AS554" s="175"/>
      <c r="AW554" s="25"/>
      <c r="AX554" s="25"/>
    </row>
    <row r="555" spans="1:50" s="19" customFormat="1" ht="14.25" customHeight="1" x14ac:dyDescent="0.25">
      <c r="A555" s="24"/>
      <c r="B555" s="170"/>
      <c r="C555" s="192" t="s">
        <v>711</v>
      </c>
      <c r="D555" s="210"/>
      <c r="E555" s="210"/>
      <c r="F555" s="210"/>
      <c r="G555" s="210"/>
      <c r="H555" s="210"/>
      <c r="I555" s="210"/>
      <c r="J555" s="210"/>
      <c r="K555" s="210"/>
      <c r="L555" s="210"/>
      <c r="M555" s="210"/>
      <c r="N555" s="210"/>
      <c r="O555" s="210"/>
      <c r="P555" s="210"/>
      <c r="Q555" s="210"/>
      <c r="R555" s="210"/>
      <c r="S555" s="210"/>
      <c r="T555" s="210"/>
      <c r="U555" s="210"/>
      <c r="V555" s="210"/>
      <c r="W555" s="210"/>
      <c r="X555" s="210"/>
      <c r="Y555" s="210"/>
      <c r="Z555" s="210"/>
      <c r="AA555" s="210"/>
      <c r="AB555" s="210"/>
      <c r="AC555" s="210"/>
      <c r="AD555" s="210"/>
      <c r="AE555" s="210"/>
      <c r="AF555" s="210"/>
      <c r="AG555" s="210"/>
      <c r="AH555" s="89"/>
      <c r="AI555" s="90"/>
      <c r="AJ555" s="90"/>
      <c r="AK555" s="89"/>
      <c r="AL555" s="90"/>
      <c r="AM555" s="90"/>
      <c r="AN555" s="89"/>
      <c r="AO555" s="89"/>
      <c r="AP555" s="89"/>
      <c r="AQ555" s="89"/>
      <c r="AR555" s="89"/>
      <c r="AS555" s="89"/>
      <c r="AW555" s="25"/>
      <c r="AX555" s="25"/>
    </row>
    <row r="556" spans="1:50" s="19" customFormat="1" ht="14.25" customHeight="1" x14ac:dyDescent="0.25">
      <c r="A556" s="170"/>
      <c r="B556" s="170"/>
      <c r="C556" s="176" t="s">
        <v>712</v>
      </c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175"/>
      <c r="AI556" s="174"/>
      <c r="AJ556" s="174"/>
      <c r="AK556" s="175"/>
      <c r="AL556" s="174"/>
      <c r="AM556" s="174"/>
      <c r="AN556" s="175"/>
      <c r="AO556" s="175"/>
      <c r="AP556" s="175"/>
      <c r="AQ556" s="175"/>
      <c r="AR556" s="175"/>
      <c r="AS556" s="175"/>
      <c r="AW556" s="25"/>
      <c r="AX556" s="25"/>
    </row>
    <row r="557" spans="1:50" s="19" customFormat="1" ht="14.25" customHeight="1" x14ac:dyDescent="0.25">
      <c r="A557" s="170"/>
      <c r="B557" s="170"/>
      <c r="C557" s="471" t="s">
        <v>80</v>
      </c>
      <c r="D557" s="471"/>
      <c r="E557" s="471"/>
      <c r="F557" s="471"/>
      <c r="G557" s="471"/>
      <c r="H557" s="471"/>
      <c r="I557" s="471"/>
      <c r="J557" s="471"/>
      <c r="K557" s="471"/>
      <c r="L557" s="471"/>
      <c r="M557" s="471"/>
      <c r="N557" s="471"/>
      <c r="O557" s="471"/>
      <c r="P557" s="471"/>
      <c r="Q557" s="471"/>
      <c r="R557" s="471"/>
      <c r="S557" s="471"/>
      <c r="T557" s="471"/>
      <c r="U557" s="471"/>
      <c r="V557" s="471" t="s">
        <v>306</v>
      </c>
      <c r="W557" s="471"/>
      <c r="X557" s="471"/>
      <c r="Y557" s="471"/>
      <c r="Z557" s="471"/>
      <c r="AA557" s="471"/>
      <c r="AB557" s="471" t="s">
        <v>705</v>
      </c>
      <c r="AC557" s="471"/>
      <c r="AD557" s="471"/>
      <c r="AE557" s="471"/>
      <c r="AF557" s="471"/>
      <c r="AG557" s="471"/>
      <c r="AH557" s="454" t="s">
        <v>188</v>
      </c>
      <c r="AI557" s="454"/>
      <c r="AJ557" s="454"/>
      <c r="AK557" s="454"/>
      <c r="AL557" s="454"/>
      <c r="AM557" s="454"/>
      <c r="AN557" s="346" t="s">
        <v>907</v>
      </c>
      <c r="AO557" s="346"/>
      <c r="AP557" s="346"/>
      <c r="AQ557" s="346"/>
      <c r="AR557" s="346"/>
      <c r="AS557" s="346"/>
      <c r="AW557" s="25"/>
      <c r="AX557" s="25"/>
    </row>
    <row r="558" spans="1:50" s="19" customFormat="1" ht="14.25" customHeight="1" x14ac:dyDescent="0.25">
      <c r="A558" s="211"/>
      <c r="B558" s="170"/>
      <c r="C558" s="465" t="s">
        <v>702</v>
      </c>
      <c r="D558" s="465"/>
      <c r="E558" s="465"/>
      <c r="F558" s="465"/>
      <c r="G558" s="465"/>
      <c r="H558" s="465"/>
      <c r="I558" s="465"/>
      <c r="J558" s="465"/>
      <c r="K558" s="465"/>
      <c r="L558" s="465"/>
      <c r="M558" s="465"/>
      <c r="N558" s="465"/>
      <c r="O558" s="465"/>
      <c r="P558" s="465"/>
      <c r="Q558" s="465"/>
      <c r="R558" s="465"/>
      <c r="S558" s="465"/>
      <c r="T558" s="465"/>
      <c r="U558" s="465"/>
      <c r="V558" s="466">
        <v>20</v>
      </c>
      <c r="W558" s="466"/>
      <c r="X558" s="466"/>
      <c r="Y558" s="466"/>
      <c r="Z558" s="466"/>
      <c r="AA558" s="466"/>
      <c r="AB558" s="472">
        <v>5</v>
      </c>
      <c r="AC558" s="472"/>
      <c r="AD558" s="472"/>
      <c r="AE558" s="472"/>
      <c r="AF558" s="472"/>
      <c r="AG558" s="472"/>
      <c r="AH558" s="408" t="s">
        <v>706</v>
      </c>
      <c r="AI558" s="408"/>
      <c r="AJ558" s="408"/>
      <c r="AK558" s="408"/>
      <c r="AL558" s="408"/>
      <c r="AM558" s="408"/>
      <c r="AN558" s="345">
        <f>VLOOKUP("УТ-00114585",'Выгрузка из 1С'!$B$4:$K$2000,10,FALSE)</f>
        <v>0</v>
      </c>
      <c r="AO558" s="346"/>
      <c r="AP558" s="346"/>
      <c r="AQ558" s="346"/>
      <c r="AR558" s="346"/>
      <c r="AS558" s="346"/>
      <c r="AW558" s="25"/>
      <c r="AX558" s="25"/>
    </row>
    <row r="559" spans="1:50" s="19" customFormat="1" ht="14.25" customHeight="1" x14ac:dyDescent="0.25">
      <c r="A559" s="211"/>
      <c r="B559" s="170"/>
      <c r="C559" s="465" t="s">
        <v>702</v>
      </c>
      <c r="D559" s="465"/>
      <c r="E559" s="465"/>
      <c r="F559" s="465"/>
      <c r="G559" s="465"/>
      <c r="H559" s="465"/>
      <c r="I559" s="465"/>
      <c r="J559" s="465"/>
      <c r="K559" s="465"/>
      <c r="L559" s="465"/>
      <c r="M559" s="465"/>
      <c r="N559" s="465"/>
      <c r="O559" s="465"/>
      <c r="P559" s="465"/>
      <c r="Q559" s="465"/>
      <c r="R559" s="465"/>
      <c r="S559" s="465"/>
      <c r="T559" s="465"/>
      <c r="U559" s="465"/>
      <c r="V559" s="466">
        <v>25</v>
      </c>
      <c r="W559" s="466"/>
      <c r="X559" s="466"/>
      <c r="Y559" s="466"/>
      <c r="Z559" s="466"/>
      <c r="AA559" s="466"/>
      <c r="AB559" s="472">
        <v>9</v>
      </c>
      <c r="AC559" s="472"/>
      <c r="AD559" s="472"/>
      <c r="AE559" s="472"/>
      <c r="AF559" s="472"/>
      <c r="AG559" s="472"/>
      <c r="AH559" s="408" t="s">
        <v>256</v>
      </c>
      <c r="AI559" s="408"/>
      <c r="AJ559" s="408"/>
      <c r="AK559" s="408"/>
      <c r="AL559" s="408"/>
      <c r="AM559" s="408"/>
      <c r="AN559" s="345">
        <f>VLOOKUP("УТ-00114589",'Выгрузка из 1С'!$B$4:$K$2000,10,FALSE)</f>
        <v>0</v>
      </c>
      <c r="AO559" s="346"/>
      <c r="AP559" s="346"/>
      <c r="AQ559" s="346"/>
      <c r="AR559" s="346"/>
      <c r="AS559" s="346"/>
      <c r="AW559" s="25"/>
      <c r="AX559" s="25"/>
    </row>
    <row r="560" spans="1:50" s="19" customFormat="1" ht="14.25" customHeight="1" x14ac:dyDescent="0.25">
      <c r="A560" s="211"/>
      <c r="B560" s="170"/>
      <c r="C560" s="465" t="s">
        <v>702</v>
      </c>
      <c r="D560" s="465"/>
      <c r="E560" s="465"/>
      <c r="F560" s="465"/>
      <c r="G560" s="465"/>
      <c r="H560" s="465"/>
      <c r="I560" s="465"/>
      <c r="J560" s="465"/>
      <c r="K560" s="465"/>
      <c r="L560" s="465"/>
      <c r="M560" s="465"/>
      <c r="N560" s="465"/>
      <c r="O560" s="465"/>
      <c r="P560" s="465"/>
      <c r="Q560" s="465"/>
      <c r="R560" s="465"/>
      <c r="S560" s="465"/>
      <c r="T560" s="465"/>
      <c r="U560" s="465"/>
      <c r="V560" s="466">
        <v>32</v>
      </c>
      <c r="W560" s="466"/>
      <c r="X560" s="466"/>
      <c r="Y560" s="466"/>
      <c r="Z560" s="466"/>
      <c r="AA560" s="466"/>
      <c r="AB560" s="472">
        <v>15</v>
      </c>
      <c r="AC560" s="472"/>
      <c r="AD560" s="472"/>
      <c r="AE560" s="472"/>
      <c r="AF560" s="472"/>
      <c r="AG560" s="472"/>
      <c r="AH560" s="408" t="s">
        <v>257</v>
      </c>
      <c r="AI560" s="408"/>
      <c r="AJ560" s="408"/>
      <c r="AK560" s="408"/>
      <c r="AL560" s="408"/>
      <c r="AM560" s="408"/>
      <c r="AN560" s="345">
        <f>VLOOKUP("УТ-00114593",'Выгрузка из 1С'!$B$4:$K$2000,10,FALSE)</f>
        <v>0</v>
      </c>
      <c r="AO560" s="346"/>
      <c r="AP560" s="346"/>
      <c r="AQ560" s="346"/>
      <c r="AR560" s="346"/>
      <c r="AS560" s="346"/>
      <c r="AW560" s="25"/>
      <c r="AX560" s="25"/>
    </row>
    <row r="561" spans="1:50" s="19" customFormat="1" ht="14.25" customHeight="1" x14ac:dyDescent="0.25">
      <c r="A561" s="211"/>
      <c r="B561" s="170"/>
      <c r="C561" s="465" t="s">
        <v>702</v>
      </c>
      <c r="D561" s="465"/>
      <c r="E561" s="465"/>
      <c r="F561" s="465"/>
      <c r="G561" s="465"/>
      <c r="H561" s="465"/>
      <c r="I561" s="465"/>
      <c r="J561" s="465"/>
      <c r="K561" s="465"/>
      <c r="L561" s="465"/>
      <c r="M561" s="465"/>
      <c r="N561" s="465"/>
      <c r="O561" s="465"/>
      <c r="P561" s="465"/>
      <c r="Q561" s="465"/>
      <c r="R561" s="465"/>
      <c r="S561" s="465"/>
      <c r="T561" s="465"/>
      <c r="U561" s="465"/>
      <c r="V561" s="466">
        <v>40</v>
      </c>
      <c r="W561" s="466"/>
      <c r="X561" s="466"/>
      <c r="Y561" s="466"/>
      <c r="Z561" s="466"/>
      <c r="AA561" s="466"/>
      <c r="AB561" s="472">
        <v>22.5</v>
      </c>
      <c r="AC561" s="472"/>
      <c r="AD561" s="472"/>
      <c r="AE561" s="472"/>
      <c r="AF561" s="472"/>
      <c r="AG561" s="472"/>
      <c r="AH561" s="408" t="s">
        <v>258</v>
      </c>
      <c r="AI561" s="408"/>
      <c r="AJ561" s="408"/>
      <c r="AK561" s="408"/>
      <c r="AL561" s="408"/>
      <c r="AM561" s="408"/>
      <c r="AN561" s="345">
        <f>VLOOKUP("УТ-00114597",'Выгрузка из 1С'!$B$4:$K$2000,10,FALSE)</f>
        <v>0</v>
      </c>
      <c r="AO561" s="346"/>
      <c r="AP561" s="346"/>
      <c r="AQ561" s="346"/>
      <c r="AR561" s="346"/>
      <c r="AS561" s="346"/>
      <c r="AW561" s="25"/>
      <c r="AX561" s="25"/>
    </row>
    <row r="562" spans="1:50" s="19" customFormat="1" ht="14.25" customHeight="1" x14ac:dyDescent="0.25">
      <c r="A562" s="211"/>
      <c r="B562" s="170"/>
      <c r="C562" s="465" t="s">
        <v>702</v>
      </c>
      <c r="D562" s="465"/>
      <c r="E562" s="465"/>
      <c r="F562" s="465"/>
      <c r="G562" s="465"/>
      <c r="H562" s="465"/>
      <c r="I562" s="465"/>
      <c r="J562" s="465"/>
      <c r="K562" s="465"/>
      <c r="L562" s="465"/>
      <c r="M562" s="465"/>
      <c r="N562" s="465"/>
      <c r="O562" s="465"/>
      <c r="P562" s="465"/>
      <c r="Q562" s="465"/>
      <c r="R562" s="465"/>
      <c r="S562" s="465"/>
      <c r="T562" s="465"/>
      <c r="U562" s="465"/>
      <c r="V562" s="466">
        <v>50</v>
      </c>
      <c r="W562" s="466"/>
      <c r="X562" s="466"/>
      <c r="Y562" s="466"/>
      <c r="Z562" s="466"/>
      <c r="AA562" s="466"/>
      <c r="AB562" s="472">
        <v>37.5</v>
      </c>
      <c r="AC562" s="472"/>
      <c r="AD562" s="472"/>
      <c r="AE562" s="472"/>
      <c r="AF562" s="472"/>
      <c r="AG562" s="472"/>
      <c r="AH562" s="408" t="s">
        <v>707</v>
      </c>
      <c r="AI562" s="408"/>
      <c r="AJ562" s="408"/>
      <c r="AK562" s="408"/>
      <c r="AL562" s="408"/>
      <c r="AM562" s="408"/>
      <c r="AN562" s="345">
        <f>VLOOKUP("УТ-00114601",'Выгрузка из 1С'!$B$4:$K$2000,10,FALSE)</f>
        <v>0</v>
      </c>
      <c r="AO562" s="346"/>
      <c r="AP562" s="346"/>
      <c r="AQ562" s="346"/>
      <c r="AR562" s="346"/>
      <c r="AS562" s="346"/>
      <c r="AW562" s="25"/>
      <c r="AX562" s="25"/>
    </row>
    <row r="563" spans="1:50" s="19" customFormat="1" ht="14.25" customHeight="1" x14ac:dyDescent="0.25">
      <c r="A563" s="211"/>
      <c r="B563" s="170"/>
      <c r="C563" s="465" t="s">
        <v>702</v>
      </c>
      <c r="D563" s="465"/>
      <c r="E563" s="465"/>
      <c r="F563" s="465"/>
      <c r="G563" s="465"/>
      <c r="H563" s="465"/>
      <c r="I563" s="465"/>
      <c r="J563" s="465"/>
      <c r="K563" s="465"/>
      <c r="L563" s="465"/>
      <c r="M563" s="465"/>
      <c r="N563" s="465"/>
      <c r="O563" s="465"/>
      <c r="P563" s="465"/>
      <c r="Q563" s="465"/>
      <c r="R563" s="465"/>
      <c r="S563" s="465"/>
      <c r="T563" s="465"/>
      <c r="U563" s="465"/>
      <c r="V563" s="466">
        <v>65</v>
      </c>
      <c r="W563" s="466"/>
      <c r="X563" s="466"/>
      <c r="Y563" s="466"/>
      <c r="Z563" s="466"/>
      <c r="AA563" s="466"/>
      <c r="AB563" s="472">
        <v>60</v>
      </c>
      <c r="AC563" s="472"/>
      <c r="AD563" s="472"/>
      <c r="AE563" s="472"/>
      <c r="AF563" s="472"/>
      <c r="AG563" s="472"/>
      <c r="AH563" s="408" t="s">
        <v>260</v>
      </c>
      <c r="AI563" s="408"/>
      <c r="AJ563" s="408"/>
      <c r="AK563" s="408"/>
      <c r="AL563" s="408"/>
      <c r="AM563" s="408"/>
      <c r="AN563" s="345">
        <f>VLOOKUP("УТ-00114605",'Выгрузка из 1С'!$B$4:$K$2000,10,FALSE)</f>
        <v>0</v>
      </c>
      <c r="AO563" s="346"/>
      <c r="AP563" s="346"/>
      <c r="AQ563" s="346"/>
      <c r="AR563" s="346"/>
      <c r="AS563" s="346"/>
      <c r="AW563" s="25"/>
      <c r="AX563" s="25"/>
    </row>
    <row r="564" spans="1:50" s="19" customFormat="1" ht="14.25" customHeight="1" x14ac:dyDescent="0.25">
      <c r="A564" s="211"/>
      <c r="B564" s="170"/>
      <c r="C564" s="465" t="s">
        <v>702</v>
      </c>
      <c r="D564" s="465"/>
      <c r="E564" s="465"/>
      <c r="F564" s="465"/>
      <c r="G564" s="465"/>
      <c r="H564" s="465"/>
      <c r="I564" s="465"/>
      <c r="J564" s="465"/>
      <c r="K564" s="465"/>
      <c r="L564" s="465"/>
      <c r="M564" s="465"/>
      <c r="N564" s="465"/>
      <c r="O564" s="465"/>
      <c r="P564" s="465"/>
      <c r="Q564" s="465"/>
      <c r="R564" s="465"/>
      <c r="S564" s="465"/>
      <c r="T564" s="465"/>
      <c r="U564" s="465"/>
      <c r="V564" s="466">
        <v>80</v>
      </c>
      <c r="W564" s="466"/>
      <c r="X564" s="466"/>
      <c r="Y564" s="466"/>
      <c r="Z564" s="466"/>
      <c r="AA564" s="466"/>
      <c r="AB564" s="472">
        <v>90</v>
      </c>
      <c r="AC564" s="472"/>
      <c r="AD564" s="472"/>
      <c r="AE564" s="472"/>
      <c r="AF564" s="472"/>
      <c r="AG564" s="472"/>
      <c r="AH564" s="408" t="s">
        <v>261</v>
      </c>
      <c r="AI564" s="408"/>
      <c r="AJ564" s="408"/>
      <c r="AK564" s="408"/>
      <c r="AL564" s="408"/>
      <c r="AM564" s="408"/>
      <c r="AN564" s="345">
        <f>VLOOKUP("УТ-00114609",'Выгрузка из 1С'!$B$4:$K$2000,10,FALSE)</f>
        <v>0</v>
      </c>
      <c r="AO564" s="346"/>
      <c r="AP564" s="346"/>
      <c r="AQ564" s="346"/>
      <c r="AR564" s="346"/>
      <c r="AS564" s="346"/>
      <c r="AW564" s="25"/>
      <c r="AX564" s="25"/>
    </row>
    <row r="565" spans="1:50" s="19" customFormat="1" ht="14.25" customHeight="1" x14ac:dyDescent="0.25">
      <c r="A565" s="211"/>
      <c r="B565" s="170"/>
      <c r="C565" s="465" t="s">
        <v>702</v>
      </c>
      <c r="D565" s="465"/>
      <c r="E565" s="465"/>
      <c r="F565" s="465"/>
      <c r="G565" s="465"/>
      <c r="H565" s="465"/>
      <c r="I565" s="465"/>
      <c r="J565" s="465"/>
      <c r="K565" s="465"/>
      <c r="L565" s="465"/>
      <c r="M565" s="465"/>
      <c r="N565" s="465"/>
      <c r="O565" s="465"/>
      <c r="P565" s="465"/>
      <c r="Q565" s="465"/>
      <c r="R565" s="465"/>
      <c r="S565" s="465"/>
      <c r="T565" s="465"/>
      <c r="U565" s="465"/>
      <c r="V565" s="466">
        <v>100</v>
      </c>
      <c r="W565" s="466"/>
      <c r="X565" s="466"/>
      <c r="Y565" s="466"/>
      <c r="Z565" s="466"/>
      <c r="AA565" s="466"/>
      <c r="AB565" s="472">
        <v>150</v>
      </c>
      <c r="AC565" s="472"/>
      <c r="AD565" s="472"/>
      <c r="AE565" s="472"/>
      <c r="AF565" s="472"/>
      <c r="AG565" s="472"/>
      <c r="AH565" s="408" t="s">
        <v>708</v>
      </c>
      <c r="AI565" s="408"/>
      <c r="AJ565" s="408"/>
      <c r="AK565" s="408"/>
      <c r="AL565" s="408"/>
      <c r="AM565" s="408"/>
      <c r="AN565" s="345">
        <f>VLOOKUP("УТ-00114577",'Выгрузка из 1С'!$B$4:$K$2000,10,FALSE)</f>
        <v>0</v>
      </c>
      <c r="AO565" s="346"/>
      <c r="AP565" s="346"/>
      <c r="AQ565" s="346"/>
      <c r="AR565" s="346"/>
      <c r="AS565" s="346"/>
      <c r="AW565" s="25"/>
      <c r="AX565" s="25"/>
    </row>
    <row r="566" spans="1:50" s="19" customFormat="1" ht="14.25" customHeight="1" x14ac:dyDescent="0.25">
      <c r="A566" s="211"/>
      <c r="B566" s="170"/>
      <c r="C566" s="465" t="s">
        <v>702</v>
      </c>
      <c r="D566" s="465"/>
      <c r="E566" s="465"/>
      <c r="F566" s="465"/>
      <c r="G566" s="465"/>
      <c r="H566" s="465"/>
      <c r="I566" s="465"/>
      <c r="J566" s="465"/>
      <c r="K566" s="465"/>
      <c r="L566" s="465"/>
      <c r="M566" s="465"/>
      <c r="N566" s="465"/>
      <c r="O566" s="465"/>
      <c r="P566" s="465"/>
      <c r="Q566" s="465"/>
      <c r="R566" s="465"/>
      <c r="S566" s="465"/>
      <c r="T566" s="465"/>
      <c r="U566" s="465"/>
      <c r="V566" s="466">
        <v>150</v>
      </c>
      <c r="W566" s="466"/>
      <c r="X566" s="466"/>
      <c r="Y566" s="466"/>
      <c r="Z566" s="466"/>
      <c r="AA566" s="466"/>
      <c r="AB566" s="472">
        <v>285</v>
      </c>
      <c r="AC566" s="472"/>
      <c r="AD566" s="472"/>
      <c r="AE566" s="472"/>
      <c r="AF566" s="472"/>
      <c r="AG566" s="472"/>
      <c r="AH566" s="408" t="s">
        <v>263</v>
      </c>
      <c r="AI566" s="408"/>
      <c r="AJ566" s="408"/>
      <c r="AK566" s="408"/>
      <c r="AL566" s="408"/>
      <c r="AM566" s="408"/>
      <c r="AN566" s="345">
        <f>VLOOKUP("УТ-00114581",'Выгрузка из 1С'!$B$4:$K$2000,10,FALSE)</f>
        <v>0</v>
      </c>
      <c r="AO566" s="346"/>
      <c r="AP566" s="346"/>
      <c r="AQ566" s="346"/>
      <c r="AR566" s="346"/>
      <c r="AS566" s="346"/>
      <c r="AW566" s="25"/>
      <c r="AX566" s="25"/>
    </row>
    <row r="567" spans="1:50" s="19" customFormat="1" ht="14.25" customHeight="1" x14ac:dyDescent="0.25">
      <c r="A567" s="211"/>
      <c r="B567" s="170"/>
      <c r="C567" s="465" t="s">
        <v>703</v>
      </c>
      <c r="D567" s="465"/>
      <c r="E567" s="465"/>
      <c r="F567" s="465"/>
      <c r="G567" s="465"/>
      <c r="H567" s="465"/>
      <c r="I567" s="465"/>
      <c r="J567" s="465"/>
      <c r="K567" s="465"/>
      <c r="L567" s="465"/>
      <c r="M567" s="465"/>
      <c r="N567" s="465"/>
      <c r="O567" s="465"/>
      <c r="P567" s="465"/>
      <c r="Q567" s="465"/>
      <c r="R567" s="465"/>
      <c r="S567" s="465"/>
      <c r="T567" s="465"/>
      <c r="U567" s="465"/>
      <c r="V567" s="466"/>
      <c r="W567" s="466"/>
      <c r="X567" s="466"/>
      <c r="Y567" s="466"/>
      <c r="Z567" s="466"/>
      <c r="AA567" s="466"/>
      <c r="AB567" s="467"/>
      <c r="AC567" s="467"/>
      <c r="AD567" s="467"/>
      <c r="AE567" s="467"/>
      <c r="AF567" s="467"/>
      <c r="AG567" s="467"/>
      <c r="AH567" s="408"/>
      <c r="AI567" s="408"/>
      <c r="AJ567" s="408"/>
      <c r="AK567" s="408"/>
      <c r="AL567" s="408"/>
      <c r="AM567" s="408"/>
      <c r="AN567" s="468">
        <v>1500</v>
      </c>
      <c r="AO567" s="469"/>
      <c r="AP567" s="469"/>
      <c r="AQ567" s="469"/>
      <c r="AR567" s="469"/>
      <c r="AS567" s="469"/>
      <c r="AW567" s="25"/>
      <c r="AX567" s="25"/>
    </row>
    <row r="568" spans="1:50" s="19" customFormat="1" ht="14.25" customHeight="1" x14ac:dyDescent="0.25">
      <c r="A568" s="211"/>
      <c r="B568" s="170"/>
      <c r="C568" s="465" t="s">
        <v>704</v>
      </c>
      <c r="D568" s="465"/>
      <c r="E568" s="465"/>
      <c r="F568" s="465"/>
      <c r="G568" s="465"/>
      <c r="H568" s="465"/>
      <c r="I568" s="465"/>
      <c r="J568" s="465"/>
      <c r="K568" s="465"/>
      <c r="L568" s="465"/>
      <c r="M568" s="465"/>
      <c r="N568" s="465"/>
      <c r="O568" s="465"/>
      <c r="P568" s="465"/>
      <c r="Q568" s="465"/>
      <c r="R568" s="465"/>
      <c r="S568" s="465"/>
      <c r="T568" s="465"/>
      <c r="U568" s="465"/>
      <c r="V568" s="466"/>
      <c r="W568" s="466"/>
      <c r="X568" s="466"/>
      <c r="Y568" s="466"/>
      <c r="Z568" s="466"/>
      <c r="AA568" s="466"/>
      <c r="AB568" s="467"/>
      <c r="AC568" s="467"/>
      <c r="AD568" s="467"/>
      <c r="AE568" s="467"/>
      <c r="AF568" s="467"/>
      <c r="AG568" s="467"/>
      <c r="AH568" s="408"/>
      <c r="AI568" s="408"/>
      <c r="AJ568" s="408"/>
      <c r="AK568" s="408"/>
      <c r="AL568" s="408"/>
      <c r="AM568" s="408"/>
      <c r="AN568" s="468">
        <v>4900</v>
      </c>
      <c r="AO568" s="469"/>
      <c r="AP568" s="469"/>
      <c r="AQ568" s="469"/>
      <c r="AR568" s="469"/>
      <c r="AS568" s="469"/>
      <c r="AW568" s="25"/>
      <c r="AX568" s="25"/>
    </row>
    <row r="569" spans="1:50" s="19" customFormat="1" ht="13.5" customHeight="1" x14ac:dyDescent="0.25">
      <c r="A569" s="211"/>
      <c r="B569" s="170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175"/>
      <c r="AI569" s="174"/>
      <c r="AJ569" s="174"/>
      <c r="AK569" s="175"/>
      <c r="AL569" s="174"/>
      <c r="AM569" s="174"/>
      <c r="AN569" s="175"/>
      <c r="AO569" s="175"/>
      <c r="AP569" s="175"/>
      <c r="AQ569" s="175"/>
      <c r="AR569" s="175"/>
      <c r="AS569" s="175"/>
      <c r="AW569" s="25"/>
      <c r="AX569" s="25"/>
    </row>
    <row r="570" spans="1:50" s="19" customFormat="1" ht="13.5" customHeight="1" x14ac:dyDescent="0.25">
      <c r="A570" s="211"/>
      <c r="B570" s="170"/>
      <c r="C570" s="470" t="s">
        <v>713</v>
      </c>
      <c r="D570" s="470"/>
      <c r="E570" s="470"/>
      <c r="F570" s="470"/>
      <c r="G570" s="470"/>
      <c r="H570" s="470"/>
      <c r="I570" s="470"/>
      <c r="J570" s="470"/>
      <c r="K570" s="470"/>
      <c r="L570" s="470"/>
      <c r="M570" s="470"/>
      <c r="N570" s="470"/>
      <c r="O570" s="470"/>
      <c r="P570" s="470"/>
      <c r="Q570" s="470"/>
      <c r="R570" s="470"/>
      <c r="S570" s="470"/>
      <c r="T570" s="470"/>
      <c r="U570" s="470"/>
      <c r="V570" s="470"/>
      <c r="W570" s="470"/>
      <c r="X570" s="470"/>
      <c r="Y570" s="470"/>
      <c r="Z570" s="470"/>
      <c r="AA570" s="470"/>
      <c r="AB570" s="470"/>
      <c r="AC570" s="470"/>
      <c r="AD570" s="470"/>
      <c r="AE570" s="470"/>
      <c r="AF570" s="470"/>
      <c r="AG570" s="470"/>
      <c r="AH570" s="470"/>
      <c r="AI570" s="470"/>
      <c r="AJ570" s="470"/>
      <c r="AK570" s="470"/>
      <c r="AL570" s="470"/>
      <c r="AM570" s="470"/>
      <c r="AN570" s="470"/>
      <c r="AO570" s="470"/>
      <c r="AP570" s="470"/>
      <c r="AQ570" s="470"/>
      <c r="AR570" s="470"/>
      <c r="AS570" s="470"/>
      <c r="AW570" s="25"/>
      <c r="AX570" s="25"/>
    </row>
    <row r="571" spans="1:50" s="19" customFormat="1" ht="13.5" customHeight="1" x14ac:dyDescent="0.25">
      <c r="A571" s="211"/>
      <c r="B571" s="170"/>
      <c r="C571" s="471" t="s">
        <v>80</v>
      </c>
      <c r="D571" s="471"/>
      <c r="E571" s="471"/>
      <c r="F571" s="471"/>
      <c r="G571" s="471"/>
      <c r="H571" s="471"/>
      <c r="I571" s="471"/>
      <c r="J571" s="471"/>
      <c r="K571" s="471"/>
      <c r="L571" s="471"/>
      <c r="M571" s="471"/>
      <c r="N571" s="471"/>
      <c r="O571" s="471"/>
      <c r="P571" s="471"/>
      <c r="Q571" s="471"/>
      <c r="R571" s="471"/>
      <c r="S571" s="471"/>
      <c r="T571" s="471"/>
      <c r="U571" s="471"/>
      <c r="V571" s="471" t="s">
        <v>306</v>
      </c>
      <c r="W571" s="471"/>
      <c r="X571" s="471"/>
      <c r="Y571" s="471"/>
      <c r="Z571" s="471"/>
      <c r="AA571" s="471"/>
      <c r="AB571" s="471" t="s">
        <v>710</v>
      </c>
      <c r="AC571" s="471"/>
      <c r="AD571" s="471"/>
      <c r="AE571" s="471"/>
      <c r="AF571" s="471"/>
      <c r="AG571" s="471"/>
      <c r="AH571" s="471"/>
      <c r="AI571" s="471"/>
      <c r="AJ571" s="471"/>
      <c r="AK571" s="471"/>
      <c r="AL571" s="471"/>
      <c r="AM571" s="471"/>
      <c r="AN571" s="346" t="s">
        <v>907</v>
      </c>
      <c r="AO571" s="346"/>
      <c r="AP571" s="346"/>
      <c r="AQ571" s="346"/>
      <c r="AR571" s="346"/>
      <c r="AS571" s="346"/>
      <c r="AW571" s="25"/>
      <c r="AX571" s="25"/>
    </row>
    <row r="572" spans="1:50" s="19" customFormat="1" ht="13.5" customHeight="1" x14ac:dyDescent="0.25">
      <c r="A572" s="211"/>
      <c r="B572" s="170"/>
      <c r="C572" s="465" t="s">
        <v>695</v>
      </c>
      <c r="D572" s="465"/>
      <c r="E572" s="465"/>
      <c r="F572" s="465"/>
      <c r="G572" s="465"/>
      <c r="H572" s="465"/>
      <c r="I572" s="465"/>
      <c r="J572" s="465"/>
      <c r="K572" s="465"/>
      <c r="L572" s="465"/>
      <c r="M572" s="465"/>
      <c r="N572" s="465"/>
      <c r="O572" s="465"/>
      <c r="P572" s="465"/>
      <c r="Q572" s="465"/>
      <c r="R572" s="465"/>
      <c r="S572" s="465"/>
      <c r="T572" s="465"/>
      <c r="U572" s="465"/>
      <c r="V572" s="466">
        <v>20</v>
      </c>
      <c r="W572" s="466"/>
      <c r="X572" s="466"/>
      <c r="Y572" s="466"/>
      <c r="Z572" s="466"/>
      <c r="AA572" s="466"/>
      <c r="AB572" s="472" t="s">
        <v>709</v>
      </c>
      <c r="AC572" s="472"/>
      <c r="AD572" s="472"/>
      <c r="AE572" s="472"/>
      <c r="AF572" s="472"/>
      <c r="AG572" s="472"/>
      <c r="AH572" s="472"/>
      <c r="AI572" s="472"/>
      <c r="AJ572" s="472"/>
      <c r="AK572" s="472"/>
      <c r="AL572" s="472"/>
      <c r="AM572" s="472"/>
      <c r="AN572" s="345">
        <f>VLOOKUP("УТ-00096597",'Выгрузка из 1С'!$B$4:$K$2000,10,FALSE)</f>
        <v>0</v>
      </c>
      <c r="AO572" s="346"/>
      <c r="AP572" s="346"/>
      <c r="AQ572" s="346"/>
      <c r="AR572" s="346"/>
      <c r="AS572" s="346"/>
      <c r="AW572" s="25"/>
      <c r="AX572" s="25"/>
    </row>
    <row r="573" spans="1:50" s="19" customFormat="1" ht="13.5" customHeight="1" x14ac:dyDescent="0.25">
      <c r="A573" s="211"/>
      <c r="B573" s="170"/>
      <c r="C573" s="465" t="s">
        <v>714</v>
      </c>
      <c r="D573" s="465"/>
      <c r="E573" s="465"/>
      <c r="F573" s="465"/>
      <c r="G573" s="465"/>
      <c r="H573" s="465"/>
      <c r="I573" s="465"/>
      <c r="J573" s="465"/>
      <c r="K573" s="465"/>
      <c r="L573" s="465"/>
      <c r="M573" s="465"/>
      <c r="N573" s="465"/>
      <c r="O573" s="465"/>
      <c r="P573" s="465"/>
      <c r="Q573" s="465"/>
      <c r="R573" s="465"/>
      <c r="S573" s="465"/>
      <c r="T573" s="465"/>
      <c r="U573" s="465"/>
      <c r="V573" s="466">
        <v>25</v>
      </c>
      <c r="W573" s="466"/>
      <c r="X573" s="466"/>
      <c r="Y573" s="466"/>
      <c r="Z573" s="466"/>
      <c r="AA573" s="466"/>
      <c r="AB573" s="472"/>
      <c r="AC573" s="472"/>
      <c r="AD573" s="472"/>
      <c r="AE573" s="472"/>
      <c r="AF573" s="472"/>
      <c r="AG573" s="472"/>
      <c r="AH573" s="472"/>
      <c r="AI573" s="472"/>
      <c r="AJ573" s="472"/>
      <c r="AK573" s="472"/>
      <c r="AL573" s="472"/>
      <c r="AM573" s="472"/>
      <c r="AN573" s="345">
        <f>VLOOKUP("УТ-00096598",'Выгрузка из 1С'!$B$4:$K$2000,10,FALSE)</f>
        <v>0</v>
      </c>
      <c r="AO573" s="346"/>
      <c r="AP573" s="346"/>
      <c r="AQ573" s="346"/>
      <c r="AR573" s="346"/>
      <c r="AS573" s="346"/>
      <c r="AW573" s="25"/>
      <c r="AX573" s="25"/>
    </row>
    <row r="574" spans="1:50" s="19" customFormat="1" ht="13.5" customHeight="1" x14ac:dyDescent="0.25">
      <c r="A574" s="211"/>
      <c r="B574" s="170"/>
      <c r="C574" s="465" t="s">
        <v>715</v>
      </c>
      <c r="D574" s="465"/>
      <c r="E574" s="465"/>
      <c r="F574" s="465"/>
      <c r="G574" s="465"/>
      <c r="H574" s="465"/>
      <c r="I574" s="465"/>
      <c r="J574" s="465"/>
      <c r="K574" s="465"/>
      <c r="L574" s="465"/>
      <c r="M574" s="465"/>
      <c r="N574" s="465"/>
      <c r="O574" s="465"/>
      <c r="P574" s="465"/>
      <c r="Q574" s="465"/>
      <c r="R574" s="465"/>
      <c r="S574" s="465"/>
      <c r="T574" s="465"/>
      <c r="U574" s="465"/>
      <c r="V574" s="466">
        <v>32</v>
      </c>
      <c r="W574" s="466"/>
      <c r="X574" s="466"/>
      <c r="Y574" s="466"/>
      <c r="Z574" s="466"/>
      <c r="AA574" s="466"/>
      <c r="AB574" s="472"/>
      <c r="AC574" s="472"/>
      <c r="AD574" s="472"/>
      <c r="AE574" s="472"/>
      <c r="AF574" s="472"/>
      <c r="AG574" s="472"/>
      <c r="AH574" s="472"/>
      <c r="AI574" s="472"/>
      <c r="AJ574" s="472"/>
      <c r="AK574" s="472"/>
      <c r="AL574" s="472"/>
      <c r="AM574" s="472"/>
      <c r="AN574" s="345">
        <f>VLOOKUP("УТ-00096599",'Выгрузка из 1С'!$B$4:$K$2000,10,FALSE)</f>
        <v>0</v>
      </c>
      <c r="AO574" s="346"/>
      <c r="AP574" s="346"/>
      <c r="AQ574" s="346"/>
      <c r="AR574" s="346"/>
      <c r="AS574" s="346"/>
      <c r="AW574" s="25"/>
      <c r="AX574" s="25"/>
    </row>
    <row r="575" spans="1:50" s="19" customFormat="1" ht="13.5" customHeight="1" x14ac:dyDescent="0.25">
      <c r="A575" s="211"/>
      <c r="B575" s="170"/>
      <c r="C575" s="465" t="s">
        <v>716</v>
      </c>
      <c r="D575" s="465"/>
      <c r="E575" s="465"/>
      <c r="F575" s="465"/>
      <c r="G575" s="465"/>
      <c r="H575" s="465"/>
      <c r="I575" s="465"/>
      <c r="J575" s="465"/>
      <c r="K575" s="465"/>
      <c r="L575" s="465"/>
      <c r="M575" s="465"/>
      <c r="N575" s="465"/>
      <c r="O575" s="465"/>
      <c r="P575" s="465"/>
      <c r="Q575" s="465"/>
      <c r="R575" s="465"/>
      <c r="S575" s="465"/>
      <c r="T575" s="465"/>
      <c r="U575" s="465"/>
      <c r="V575" s="466">
        <v>40</v>
      </c>
      <c r="W575" s="466"/>
      <c r="X575" s="466"/>
      <c r="Y575" s="466"/>
      <c r="Z575" s="466"/>
      <c r="AA575" s="466"/>
      <c r="AB575" s="472"/>
      <c r="AC575" s="472"/>
      <c r="AD575" s="472"/>
      <c r="AE575" s="472"/>
      <c r="AF575" s="472"/>
      <c r="AG575" s="472"/>
      <c r="AH575" s="472"/>
      <c r="AI575" s="472"/>
      <c r="AJ575" s="472"/>
      <c r="AK575" s="472"/>
      <c r="AL575" s="472"/>
      <c r="AM575" s="472"/>
      <c r="AN575" s="345">
        <f>VLOOKUP("УТ-00096600",'Выгрузка из 1С'!$B$4:$K$2000,10,FALSE)</f>
        <v>0</v>
      </c>
      <c r="AO575" s="346"/>
      <c r="AP575" s="346"/>
      <c r="AQ575" s="346"/>
      <c r="AR575" s="346"/>
      <c r="AS575" s="346"/>
      <c r="AW575" s="25"/>
      <c r="AX575" s="25"/>
    </row>
    <row r="576" spans="1:50" s="19" customFormat="1" ht="13.5" customHeight="1" x14ac:dyDescent="0.25">
      <c r="A576" s="211"/>
      <c r="B576" s="170"/>
      <c r="C576" s="465" t="s">
        <v>717</v>
      </c>
      <c r="D576" s="465"/>
      <c r="E576" s="465"/>
      <c r="F576" s="465"/>
      <c r="G576" s="465"/>
      <c r="H576" s="465"/>
      <c r="I576" s="465"/>
      <c r="J576" s="465"/>
      <c r="K576" s="465"/>
      <c r="L576" s="465"/>
      <c r="M576" s="465"/>
      <c r="N576" s="465"/>
      <c r="O576" s="465"/>
      <c r="P576" s="465"/>
      <c r="Q576" s="465"/>
      <c r="R576" s="465"/>
      <c r="S576" s="465"/>
      <c r="T576" s="465"/>
      <c r="U576" s="465"/>
      <c r="V576" s="466">
        <v>50</v>
      </c>
      <c r="W576" s="466"/>
      <c r="X576" s="466"/>
      <c r="Y576" s="466"/>
      <c r="Z576" s="466"/>
      <c r="AA576" s="466"/>
      <c r="AB576" s="472"/>
      <c r="AC576" s="472"/>
      <c r="AD576" s="472"/>
      <c r="AE576" s="472"/>
      <c r="AF576" s="472"/>
      <c r="AG576" s="472"/>
      <c r="AH576" s="472"/>
      <c r="AI576" s="472"/>
      <c r="AJ576" s="472"/>
      <c r="AK576" s="472"/>
      <c r="AL576" s="472"/>
      <c r="AM576" s="472"/>
      <c r="AN576" s="345">
        <f>VLOOKUP("УТ-00096601",'Выгрузка из 1С'!$B$4:$K$2000,10,FALSE)</f>
        <v>0</v>
      </c>
      <c r="AO576" s="346"/>
      <c r="AP576" s="346"/>
      <c r="AQ576" s="346"/>
      <c r="AR576" s="346"/>
      <c r="AS576" s="346"/>
      <c r="AW576" s="25"/>
      <c r="AX576" s="25"/>
    </row>
    <row r="577" spans="1:50" s="19" customFormat="1" ht="13.5" customHeight="1" x14ac:dyDescent="0.25">
      <c r="A577" s="211"/>
      <c r="B577" s="170"/>
      <c r="C577" s="465" t="s">
        <v>718</v>
      </c>
      <c r="D577" s="465"/>
      <c r="E577" s="465"/>
      <c r="F577" s="465"/>
      <c r="G577" s="465"/>
      <c r="H577" s="465"/>
      <c r="I577" s="465"/>
      <c r="J577" s="465"/>
      <c r="K577" s="465"/>
      <c r="L577" s="465"/>
      <c r="M577" s="465"/>
      <c r="N577" s="465"/>
      <c r="O577" s="465"/>
      <c r="P577" s="465"/>
      <c r="Q577" s="465"/>
      <c r="R577" s="465"/>
      <c r="S577" s="465"/>
      <c r="T577" s="465"/>
      <c r="U577" s="465"/>
      <c r="V577" s="466">
        <v>65</v>
      </c>
      <c r="W577" s="466"/>
      <c r="X577" s="466"/>
      <c r="Y577" s="466"/>
      <c r="Z577" s="466"/>
      <c r="AA577" s="466"/>
      <c r="AB577" s="472"/>
      <c r="AC577" s="472"/>
      <c r="AD577" s="472"/>
      <c r="AE577" s="472"/>
      <c r="AF577" s="472"/>
      <c r="AG577" s="472"/>
      <c r="AH577" s="472"/>
      <c r="AI577" s="472"/>
      <c r="AJ577" s="472"/>
      <c r="AK577" s="472"/>
      <c r="AL577" s="472"/>
      <c r="AM577" s="472"/>
      <c r="AN577" s="345">
        <f>VLOOKUP("УТ-00096602",'Выгрузка из 1С'!$B$4:$K$2000,10,FALSE)</f>
        <v>0</v>
      </c>
      <c r="AO577" s="346"/>
      <c r="AP577" s="346"/>
      <c r="AQ577" s="346"/>
      <c r="AR577" s="346"/>
      <c r="AS577" s="346"/>
      <c r="AW577" s="25"/>
      <c r="AX577" s="25"/>
    </row>
    <row r="578" spans="1:50" s="19" customFormat="1" ht="13.5" customHeight="1" x14ac:dyDescent="0.25">
      <c r="A578" s="211"/>
      <c r="B578" s="170"/>
      <c r="C578" s="465" t="s">
        <v>719</v>
      </c>
      <c r="D578" s="465"/>
      <c r="E578" s="465"/>
      <c r="F578" s="465"/>
      <c r="G578" s="465"/>
      <c r="H578" s="465"/>
      <c r="I578" s="465"/>
      <c r="J578" s="465"/>
      <c r="K578" s="465"/>
      <c r="L578" s="465"/>
      <c r="M578" s="465"/>
      <c r="N578" s="465"/>
      <c r="O578" s="465"/>
      <c r="P578" s="465"/>
      <c r="Q578" s="465"/>
      <c r="R578" s="465"/>
      <c r="S578" s="465"/>
      <c r="T578" s="465"/>
      <c r="U578" s="465"/>
      <c r="V578" s="466">
        <v>80</v>
      </c>
      <c r="W578" s="466"/>
      <c r="X578" s="466"/>
      <c r="Y578" s="466"/>
      <c r="Z578" s="466"/>
      <c r="AA578" s="466"/>
      <c r="AB578" s="472"/>
      <c r="AC578" s="472"/>
      <c r="AD578" s="472"/>
      <c r="AE578" s="472"/>
      <c r="AF578" s="472"/>
      <c r="AG578" s="472"/>
      <c r="AH578" s="472"/>
      <c r="AI578" s="472"/>
      <c r="AJ578" s="472"/>
      <c r="AK578" s="472"/>
      <c r="AL578" s="472"/>
      <c r="AM578" s="472"/>
      <c r="AN578" s="345">
        <f>VLOOKUP("УТ-00096603",'Выгрузка из 1С'!$B$4:$K$2000,10,FALSE)</f>
        <v>0</v>
      </c>
      <c r="AO578" s="346"/>
      <c r="AP578" s="346"/>
      <c r="AQ578" s="346"/>
      <c r="AR578" s="346"/>
      <c r="AS578" s="346"/>
      <c r="AW578" s="25"/>
      <c r="AX578" s="25"/>
    </row>
    <row r="579" spans="1:50" s="19" customFormat="1" ht="13.5" customHeight="1" x14ac:dyDescent="0.25">
      <c r="A579" s="211"/>
      <c r="B579" s="170"/>
      <c r="C579" s="465" t="s">
        <v>720</v>
      </c>
      <c r="D579" s="465"/>
      <c r="E579" s="465"/>
      <c r="F579" s="465"/>
      <c r="G579" s="465"/>
      <c r="H579" s="465"/>
      <c r="I579" s="465"/>
      <c r="J579" s="465"/>
      <c r="K579" s="465"/>
      <c r="L579" s="465"/>
      <c r="M579" s="465"/>
      <c r="N579" s="465"/>
      <c r="O579" s="465"/>
      <c r="P579" s="465"/>
      <c r="Q579" s="465"/>
      <c r="R579" s="465"/>
      <c r="S579" s="465"/>
      <c r="T579" s="465"/>
      <c r="U579" s="465"/>
      <c r="V579" s="466">
        <v>100</v>
      </c>
      <c r="W579" s="466"/>
      <c r="X579" s="466"/>
      <c r="Y579" s="466"/>
      <c r="Z579" s="466"/>
      <c r="AA579" s="466"/>
      <c r="AB579" s="472"/>
      <c r="AC579" s="472"/>
      <c r="AD579" s="472"/>
      <c r="AE579" s="472"/>
      <c r="AF579" s="472"/>
      <c r="AG579" s="472"/>
      <c r="AH579" s="472"/>
      <c r="AI579" s="472"/>
      <c r="AJ579" s="472"/>
      <c r="AK579" s="472"/>
      <c r="AL579" s="472"/>
      <c r="AM579" s="472"/>
      <c r="AN579" s="345">
        <f>VLOOKUP("УТ-00096604",'Выгрузка из 1С'!$B$4:$K$2000,10,FALSE)</f>
        <v>0</v>
      </c>
      <c r="AO579" s="346"/>
      <c r="AP579" s="346"/>
      <c r="AQ579" s="346"/>
      <c r="AR579" s="346"/>
      <c r="AS579" s="346"/>
      <c r="AW579" s="25"/>
      <c r="AX579" s="25"/>
    </row>
    <row r="580" spans="1:50" s="19" customFormat="1" ht="13.5" customHeight="1" x14ac:dyDescent="0.25">
      <c r="A580" s="211"/>
      <c r="B580" s="170"/>
      <c r="C580" s="465" t="s">
        <v>721</v>
      </c>
      <c r="D580" s="465"/>
      <c r="E580" s="465"/>
      <c r="F580" s="465"/>
      <c r="G580" s="465"/>
      <c r="H580" s="465"/>
      <c r="I580" s="465"/>
      <c r="J580" s="465"/>
      <c r="K580" s="465"/>
      <c r="L580" s="465"/>
      <c r="M580" s="465"/>
      <c r="N580" s="465"/>
      <c r="O580" s="465"/>
      <c r="P580" s="465"/>
      <c r="Q580" s="465"/>
      <c r="R580" s="465"/>
      <c r="S580" s="465"/>
      <c r="T580" s="465"/>
      <c r="U580" s="465"/>
      <c r="V580" s="466">
        <v>150</v>
      </c>
      <c r="W580" s="466"/>
      <c r="X580" s="466"/>
      <c r="Y580" s="466"/>
      <c r="Z580" s="466"/>
      <c r="AA580" s="466"/>
      <c r="AB580" s="472"/>
      <c r="AC580" s="472"/>
      <c r="AD580" s="472"/>
      <c r="AE580" s="472"/>
      <c r="AF580" s="472"/>
      <c r="AG580" s="472"/>
      <c r="AH580" s="472"/>
      <c r="AI580" s="472"/>
      <c r="AJ580" s="472"/>
      <c r="AK580" s="472"/>
      <c r="AL580" s="472"/>
      <c r="AM580" s="472"/>
      <c r="AN580" s="345">
        <f>VLOOKUP("УТ-00096605",'Выгрузка из 1С'!$B$4:$K$2000,10,FALSE)</f>
        <v>0</v>
      </c>
      <c r="AO580" s="346"/>
      <c r="AP580" s="346"/>
      <c r="AQ580" s="346"/>
      <c r="AR580" s="346"/>
      <c r="AS580" s="346"/>
      <c r="AW580" s="25"/>
      <c r="AX580" s="25"/>
    </row>
    <row r="581" spans="1:50" s="25" customFormat="1" ht="13.5" customHeight="1" x14ac:dyDescent="0.25">
      <c r="A581" s="298"/>
      <c r="B581" s="272"/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  <c r="N581" s="198"/>
      <c r="O581" s="198"/>
      <c r="P581" s="198"/>
      <c r="Q581" s="198"/>
      <c r="R581" s="198"/>
      <c r="S581" s="198"/>
      <c r="T581" s="198"/>
      <c r="U581" s="198"/>
      <c r="V581" s="299"/>
      <c r="W581" s="299"/>
      <c r="X581" s="299"/>
      <c r="Y581" s="299"/>
      <c r="Z581" s="299"/>
      <c r="AA581" s="299"/>
      <c r="AB581" s="300"/>
      <c r="AC581" s="300"/>
      <c r="AD581" s="300"/>
      <c r="AE581" s="300"/>
      <c r="AF581" s="300"/>
      <c r="AG581" s="300"/>
      <c r="AH581" s="300"/>
      <c r="AI581" s="300"/>
      <c r="AJ581" s="300"/>
      <c r="AK581" s="300"/>
      <c r="AL581" s="300"/>
      <c r="AM581" s="300"/>
      <c r="AN581" s="83"/>
      <c r="AO581" s="55"/>
      <c r="AP581" s="55"/>
      <c r="AQ581" s="55"/>
      <c r="AR581" s="55"/>
      <c r="AS581" s="55"/>
    </row>
    <row r="582" spans="1:50" s="25" customFormat="1" ht="13.5" customHeight="1" x14ac:dyDescent="0.25">
      <c r="A582" s="298"/>
      <c r="B582" s="272"/>
      <c r="C582" s="198"/>
      <c r="D582" s="198"/>
      <c r="E582" s="198"/>
      <c r="F582" s="198"/>
      <c r="G582" s="198"/>
      <c r="H582" s="198"/>
      <c r="I582" s="198"/>
      <c r="J582" s="198"/>
      <c r="K582" s="198"/>
      <c r="L582" s="198"/>
      <c r="M582" s="198"/>
      <c r="N582" s="198"/>
      <c r="O582" s="198"/>
      <c r="P582" s="198"/>
      <c r="Q582" s="198"/>
      <c r="R582" s="198"/>
      <c r="S582" s="198"/>
      <c r="T582" s="198"/>
      <c r="U582" s="198"/>
      <c r="V582" s="299"/>
      <c r="W582" s="299"/>
      <c r="X582" s="299"/>
      <c r="Y582" s="299"/>
      <c r="Z582" s="299"/>
      <c r="AA582" s="299"/>
      <c r="AB582" s="300"/>
      <c r="AC582" s="300"/>
      <c r="AD582" s="300"/>
      <c r="AE582" s="300"/>
      <c r="AF582" s="300"/>
      <c r="AG582" s="300"/>
      <c r="AH582" s="300"/>
      <c r="AI582" s="300"/>
      <c r="AJ582" s="300"/>
      <c r="AK582" s="300"/>
      <c r="AL582" s="300"/>
      <c r="AM582" s="300"/>
      <c r="AN582" s="83"/>
      <c r="AO582" s="55"/>
      <c r="AP582" s="55"/>
      <c r="AQ582" s="55"/>
      <c r="AR582" s="55"/>
      <c r="AS582" s="55"/>
    </row>
    <row r="583" spans="1:50" ht="3" customHeight="1" x14ac:dyDescent="0.25">
      <c r="A583" s="92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6"/>
      <c r="W583" s="96"/>
      <c r="X583" s="96"/>
      <c r="Y583" s="96"/>
      <c r="Z583" s="96"/>
      <c r="AA583" s="96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112"/>
      <c r="AN583" s="83"/>
      <c r="AO583" s="83"/>
      <c r="AP583" s="83"/>
      <c r="AQ583" s="83"/>
      <c r="AR583" s="83"/>
      <c r="AS583" s="83"/>
      <c r="AW583" s="35"/>
      <c r="AX583" s="35"/>
    </row>
    <row r="584" spans="1:50" s="57" customFormat="1" ht="18" customHeight="1" x14ac:dyDescent="0.25">
      <c r="A584" s="56"/>
      <c r="B584" s="56"/>
      <c r="C584" s="78" t="s">
        <v>728</v>
      </c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</row>
    <row r="585" spans="1:50" s="98" customFormat="1" ht="15" customHeight="1" x14ac:dyDescent="0.25">
      <c r="A585" s="4"/>
      <c r="B585" s="4"/>
      <c r="C585" s="440" t="s">
        <v>732</v>
      </c>
      <c r="D585" s="440"/>
      <c r="E585" s="440"/>
      <c r="F585" s="440"/>
      <c r="G585" s="375" t="s">
        <v>731</v>
      </c>
      <c r="H585" s="375"/>
      <c r="I585" s="375"/>
      <c r="J585" s="375" t="s">
        <v>407</v>
      </c>
      <c r="K585" s="375"/>
      <c r="L585" s="375"/>
      <c r="M585" s="375" t="s">
        <v>408</v>
      </c>
      <c r="N585" s="375"/>
      <c r="O585" s="375"/>
      <c r="P585" s="375" t="s">
        <v>409</v>
      </c>
      <c r="Q585" s="375"/>
      <c r="R585" s="375"/>
      <c r="S585" s="375" t="s">
        <v>410</v>
      </c>
      <c r="T585" s="375"/>
      <c r="U585" s="375"/>
      <c r="V585" s="375" t="s">
        <v>411</v>
      </c>
      <c r="W585" s="375"/>
      <c r="X585" s="375"/>
      <c r="Y585" s="375" t="s">
        <v>412</v>
      </c>
      <c r="Z585" s="375"/>
      <c r="AA585" s="375"/>
      <c r="AB585" s="375" t="s">
        <v>413</v>
      </c>
      <c r="AC585" s="375"/>
      <c r="AD585" s="375"/>
      <c r="AE585" s="375" t="s">
        <v>414</v>
      </c>
      <c r="AF585" s="375"/>
      <c r="AG585" s="375"/>
      <c r="AH585" s="375" t="s">
        <v>415</v>
      </c>
      <c r="AI585" s="375"/>
      <c r="AJ585" s="375"/>
      <c r="AK585" s="375" t="s">
        <v>417</v>
      </c>
      <c r="AL585" s="375"/>
      <c r="AM585" s="375"/>
      <c r="AN585" s="375" t="s">
        <v>418</v>
      </c>
      <c r="AO585" s="375"/>
      <c r="AP585" s="375"/>
      <c r="AQ585" s="375" t="s">
        <v>471</v>
      </c>
      <c r="AR585" s="375"/>
      <c r="AS585" s="375"/>
      <c r="AT585" s="230"/>
      <c r="AV585" s="99"/>
      <c r="AW585" s="220"/>
      <c r="AX585" s="220"/>
    </row>
    <row r="586" spans="1:50" s="98" customFormat="1" ht="14.25" customHeight="1" x14ac:dyDescent="0.25">
      <c r="A586" s="95"/>
      <c r="B586" s="4"/>
      <c r="C586" s="463" t="s">
        <v>298</v>
      </c>
      <c r="D586" s="464"/>
      <c r="E586" s="464"/>
      <c r="F586" s="464"/>
      <c r="G586" s="464"/>
      <c r="H586" s="464"/>
      <c r="I586" s="464"/>
      <c r="J586" s="464"/>
      <c r="K586" s="464"/>
      <c r="L586" s="464"/>
      <c r="M586" s="464"/>
      <c r="N586" s="464"/>
      <c r="O586" s="464"/>
      <c r="P586" s="464"/>
      <c r="Q586" s="464"/>
      <c r="R586" s="464"/>
      <c r="S586" s="464"/>
      <c r="T586" s="464"/>
      <c r="U586" s="464"/>
      <c r="V586" s="464"/>
      <c r="W586" s="464"/>
      <c r="X586" s="464"/>
      <c r="Y586" s="464"/>
      <c r="Z586" s="464"/>
      <c r="AA586" s="464"/>
      <c r="AB586" s="464"/>
      <c r="AC586" s="464"/>
      <c r="AD586" s="464"/>
      <c r="AE586" s="464"/>
      <c r="AF586" s="464"/>
      <c r="AG586" s="464"/>
      <c r="AH586" s="464"/>
      <c r="AI586" s="464"/>
      <c r="AJ586" s="464"/>
      <c r="AK586" s="464"/>
      <c r="AL586" s="464"/>
      <c r="AM586" s="464"/>
      <c r="AN586" s="464"/>
      <c r="AO586" s="464"/>
      <c r="AP586" s="464"/>
      <c r="AQ586" s="464"/>
      <c r="AR586" s="464"/>
      <c r="AS586" s="464"/>
      <c r="AT586" s="230"/>
      <c r="AV586" s="99"/>
      <c r="AW586" s="220"/>
      <c r="AX586" s="220"/>
    </row>
    <row r="587" spans="1:50" s="98" customFormat="1" ht="14.25" customHeight="1" x14ac:dyDescent="0.25">
      <c r="A587" s="4"/>
      <c r="B587" s="4"/>
      <c r="C587" s="375" t="s">
        <v>299</v>
      </c>
      <c r="D587" s="375"/>
      <c r="E587" s="375"/>
      <c r="F587" s="375"/>
      <c r="G587" s="455">
        <f>VLOOKUP("00-00181389",'Выгрузка из 1С'!$B$4:$K$2000,10,FALSE)</f>
        <v>34440</v>
      </c>
      <c r="H587" s="455"/>
      <c r="I587" s="455"/>
      <c r="J587" s="455">
        <f>VLOOKUP("00-00034903",'Выгрузка из 1С'!$B$4:$K$2000,10,FALSE)</f>
        <v>34440</v>
      </c>
      <c r="K587" s="455"/>
      <c r="L587" s="455"/>
      <c r="M587" s="455">
        <f>VLOOKUP("УТ-00041919",'Выгрузка из 1С'!$B$4:$K$2000,10,FALSE)</f>
        <v>35160</v>
      </c>
      <c r="N587" s="455"/>
      <c r="O587" s="455"/>
      <c r="P587" s="455">
        <f>VLOOKUP("УТ-00096820",'Выгрузка из 1С'!$B$4:$K$2000,10,FALSE)</f>
        <v>37440</v>
      </c>
      <c r="Q587" s="455"/>
      <c r="R587" s="455"/>
      <c r="S587" s="455">
        <f>VLOOKUP("УТ-00041920",'Выгрузка из 1С'!$B$4:$K$2000,10,FALSE)</f>
        <v>39360</v>
      </c>
      <c r="T587" s="455"/>
      <c r="U587" s="455"/>
      <c r="V587" s="455">
        <f>VLOOKUP("УТ-00041921",'Выгрузка из 1С'!$B$4:$K$2000,10,FALSE)</f>
        <v>42960</v>
      </c>
      <c r="W587" s="455"/>
      <c r="X587" s="455"/>
      <c r="Y587" s="455">
        <f>VLOOKUP("00-00034979",'Выгрузка из 1С'!$B$4:$K$2000,10,FALSE)</f>
        <v>45120</v>
      </c>
      <c r="Z587" s="455"/>
      <c r="AA587" s="455"/>
      <c r="AB587" s="455">
        <f>VLOOKUP("00-00180560",'Выгрузка из 1С'!$B$4:$K$2000,10,FALSE)</f>
        <v>51600</v>
      </c>
      <c r="AC587" s="455"/>
      <c r="AD587" s="455"/>
      <c r="AE587" s="455">
        <f>VLOOKUP("УТ-00100045",'Выгрузка из 1С'!$B$4:$K$2000,10,FALSE)</f>
        <v>53760</v>
      </c>
      <c r="AF587" s="455"/>
      <c r="AG587" s="455"/>
      <c r="AH587" s="455">
        <f>VLOOKUP("УТ-00096821",'Выгрузка из 1С'!$B$4:$K$2000,10,FALSE)</f>
        <v>57960</v>
      </c>
      <c r="AI587" s="455"/>
      <c r="AJ587" s="455"/>
      <c r="AK587" s="455">
        <f>VLOOKUP("УТ-00096822",'Выгрузка из 1С'!$B$4:$K$2000,10,FALSE)</f>
        <v>83520</v>
      </c>
      <c r="AL587" s="455"/>
      <c r="AM587" s="455"/>
      <c r="AN587" s="375" t="s">
        <v>101</v>
      </c>
      <c r="AO587" s="375"/>
      <c r="AP587" s="375"/>
      <c r="AQ587" s="375" t="s">
        <v>101</v>
      </c>
      <c r="AR587" s="375"/>
      <c r="AS587" s="375"/>
      <c r="AT587" s="230"/>
      <c r="AV587" s="99"/>
      <c r="AW587" s="220"/>
      <c r="AX587" s="220"/>
    </row>
    <row r="588" spans="1:50" s="98" customFormat="1" ht="14.25" customHeight="1" x14ac:dyDescent="0.25">
      <c r="A588" s="4"/>
      <c r="B588" s="4"/>
      <c r="C588" s="375" t="s">
        <v>300</v>
      </c>
      <c r="D588" s="375"/>
      <c r="E588" s="375"/>
      <c r="F588" s="375"/>
      <c r="G588" s="375" t="s">
        <v>101</v>
      </c>
      <c r="H588" s="375"/>
      <c r="I588" s="375"/>
      <c r="J588" s="455">
        <f>VLOOKUP("00-00181390",'Выгрузка из 1С'!$B$4:$K$2000,10,FALSE)</f>
        <v>43080</v>
      </c>
      <c r="K588" s="455"/>
      <c r="L588" s="455"/>
      <c r="M588" s="455">
        <f>VLOOKUP("00-00181391",'Выгрузка из 1С'!$B$4:$K$2000,10,FALSE)</f>
        <v>43920</v>
      </c>
      <c r="N588" s="455"/>
      <c r="O588" s="455"/>
      <c r="P588" s="455">
        <f>VLOOKUP("00-00181392",'Выгрузка из 1С'!$B$4:$K$2000,10,FALSE)</f>
        <v>48720</v>
      </c>
      <c r="Q588" s="455"/>
      <c r="R588" s="455"/>
      <c r="S588" s="455">
        <f>VLOOKUP("УТ-00124455",'Выгрузка из 1С'!$B$4:$K$2000,10,FALSE)</f>
        <v>51120</v>
      </c>
      <c r="T588" s="455"/>
      <c r="U588" s="455"/>
      <c r="V588" s="455">
        <f>VLOOKUP("00-00181393",'Выгрузка из 1С'!$B$4:$K$2000,10,FALSE)</f>
        <v>55800</v>
      </c>
      <c r="W588" s="455"/>
      <c r="X588" s="455"/>
      <c r="Y588" s="455">
        <f>VLOOKUP("00-00181394",'Выгрузка из 1С'!$B$4:$K$2000,10,FALSE)</f>
        <v>58680</v>
      </c>
      <c r="Z588" s="455"/>
      <c r="AA588" s="455"/>
      <c r="AB588" s="455">
        <f>VLOOKUP("00-00181395",'Выгрузка из 1С'!$B$4:$K$2000,10,FALSE)</f>
        <v>64560</v>
      </c>
      <c r="AC588" s="455"/>
      <c r="AD588" s="455"/>
      <c r="AE588" s="455">
        <f>VLOOKUP("00-00181396",'Выгрузка из 1С'!$B$4:$K$2000,10,FALSE)</f>
        <v>69840</v>
      </c>
      <c r="AF588" s="455"/>
      <c r="AG588" s="455"/>
      <c r="AH588" s="455">
        <f>VLOOKUP("00-00181397",'Выгрузка из 1С'!$B$4:$K$2000,10,FALSE)</f>
        <v>81120</v>
      </c>
      <c r="AI588" s="455"/>
      <c r="AJ588" s="455"/>
      <c r="AK588" s="455">
        <f>VLOOKUP("00-00181398",'Выгрузка из 1С'!$B$4:$K$2000,10,FALSE)</f>
        <v>104400</v>
      </c>
      <c r="AL588" s="455"/>
      <c r="AM588" s="455"/>
      <c r="AN588" s="375" t="s">
        <v>101</v>
      </c>
      <c r="AO588" s="375"/>
      <c r="AP588" s="375"/>
      <c r="AQ588" s="375" t="s">
        <v>101</v>
      </c>
      <c r="AR588" s="375"/>
      <c r="AS588" s="375"/>
      <c r="AT588" s="230"/>
      <c r="AV588" s="99"/>
      <c r="AW588" s="220"/>
      <c r="AX588" s="220"/>
    </row>
    <row r="589" spans="1:50" s="98" customFormat="1" ht="14.25" customHeight="1" x14ac:dyDescent="0.25">
      <c r="A589" s="4"/>
      <c r="B589" s="4"/>
      <c r="C589" s="462" t="s">
        <v>301</v>
      </c>
      <c r="D589" s="462"/>
      <c r="E589" s="462"/>
      <c r="F589" s="462"/>
      <c r="G589" s="462"/>
      <c r="H589" s="462"/>
      <c r="I589" s="462"/>
      <c r="J589" s="462"/>
      <c r="K589" s="462"/>
      <c r="L589" s="462"/>
      <c r="M589" s="462"/>
      <c r="N589" s="462"/>
      <c r="O589" s="462"/>
      <c r="P589" s="462"/>
      <c r="Q589" s="462"/>
      <c r="R589" s="462"/>
      <c r="S589" s="462"/>
      <c r="T589" s="462"/>
      <c r="U589" s="462"/>
      <c r="V589" s="462"/>
      <c r="W589" s="462"/>
      <c r="X589" s="462"/>
      <c r="Y589" s="462"/>
      <c r="Z589" s="462"/>
      <c r="AA589" s="462"/>
      <c r="AB589" s="462"/>
      <c r="AC589" s="462"/>
      <c r="AD589" s="462"/>
      <c r="AE589" s="462"/>
      <c r="AF589" s="462"/>
      <c r="AG589" s="462"/>
      <c r="AH589" s="462"/>
      <c r="AI589" s="462"/>
      <c r="AJ589" s="462"/>
      <c r="AK589" s="462"/>
      <c r="AL589" s="462"/>
      <c r="AM589" s="462"/>
      <c r="AN589" s="462"/>
      <c r="AO589" s="462"/>
      <c r="AP589" s="462"/>
      <c r="AQ589" s="462"/>
      <c r="AR589" s="462"/>
      <c r="AS589" s="462"/>
      <c r="AT589" s="230"/>
      <c r="AV589" s="99"/>
      <c r="AW589" s="220"/>
      <c r="AX589" s="220"/>
    </row>
    <row r="590" spans="1:50" s="98" customFormat="1" ht="14.25" customHeight="1" x14ac:dyDescent="0.25">
      <c r="A590" s="4"/>
      <c r="B590" s="4"/>
      <c r="C590" s="375" t="s">
        <v>302</v>
      </c>
      <c r="D590" s="375"/>
      <c r="E590" s="375"/>
      <c r="F590" s="375"/>
      <c r="G590" s="375" t="s">
        <v>101</v>
      </c>
      <c r="H590" s="375"/>
      <c r="I590" s="375"/>
      <c r="J590" s="375" t="s">
        <v>101</v>
      </c>
      <c r="K590" s="375"/>
      <c r="L590" s="375"/>
      <c r="M590" s="455">
        <f>VLOOKUP("00-00181399",'Выгрузка из 1С'!$B$4:$K$2000,10,FALSE)</f>
        <v>48240</v>
      </c>
      <c r="N590" s="455"/>
      <c r="O590" s="455"/>
      <c r="P590" s="455">
        <f>VLOOKUP("УТ-00096818",'Выгрузка из 1С'!$B$4:$K$2000,10,FALSE)</f>
        <v>51120</v>
      </c>
      <c r="Q590" s="455"/>
      <c r="R590" s="455"/>
      <c r="S590" s="455">
        <f>VLOOKUP("УТ-00096817",'Выгрузка из 1С'!$B$4:$K$2000,10,FALSE)</f>
        <v>51960</v>
      </c>
      <c r="T590" s="455"/>
      <c r="U590" s="455"/>
      <c r="V590" s="455">
        <f>VLOOKUP("00-00035026",'Выгрузка из 1С'!$B$4:$K$2000,10,FALSE)</f>
        <v>54240</v>
      </c>
      <c r="W590" s="455"/>
      <c r="X590" s="455"/>
      <c r="Y590" s="455">
        <f>VLOOKUP("00-00035025",'Выгрузка из 1С'!$B$4:$K$2000,10,FALSE)</f>
        <v>57000</v>
      </c>
      <c r="Z590" s="455"/>
      <c r="AA590" s="455"/>
      <c r="AB590" s="455">
        <f>VLOOKUP("00-00181400",'Выгрузка из 1С'!$B$4:$K$2000,10,FALSE)</f>
        <v>64680</v>
      </c>
      <c r="AC590" s="455"/>
      <c r="AD590" s="455"/>
      <c r="AE590" s="455">
        <f>VLOOKUP("00-00181401",'Выгрузка из 1С'!$B$4:$K$2000,10,FALSE)</f>
        <v>69240</v>
      </c>
      <c r="AF590" s="455"/>
      <c r="AG590" s="455"/>
      <c r="AH590" s="455">
        <f>VLOOKUP("00-00181402",'Выгрузка из 1С'!$B$4:$K$2000,10,FALSE)</f>
        <v>73800</v>
      </c>
      <c r="AI590" s="455"/>
      <c r="AJ590" s="455"/>
      <c r="AK590" s="455">
        <f>VLOOKUP("УТ-00096816",'Выгрузка из 1С'!$B$4:$K$2000,10,FALSE)</f>
        <v>112200</v>
      </c>
      <c r="AL590" s="455"/>
      <c r="AM590" s="455"/>
      <c r="AN590" s="455">
        <f>VLOOKUP("00-00181403",'Выгрузка из 1С'!$B$4:$K$2000,10,FALSE)</f>
        <v>195840</v>
      </c>
      <c r="AO590" s="455"/>
      <c r="AP590" s="455"/>
      <c r="AQ590" s="455">
        <f>VLOOKUP("УТ-00096897",'Выгрузка из 1С'!$B$4:$K$2000,10,FALSE)</f>
        <v>363840</v>
      </c>
      <c r="AR590" s="455"/>
      <c r="AS590" s="455"/>
      <c r="AT590" s="230"/>
      <c r="AV590" s="99"/>
      <c r="AW590" s="220"/>
      <c r="AX590" s="220"/>
    </row>
    <row r="591" spans="1:50" s="98" customFormat="1" ht="14.25" customHeight="1" x14ac:dyDescent="0.25">
      <c r="A591" s="4"/>
      <c r="B591" s="4"/>
      <c r="C591" s="375" t="s">
        <v>303</v>
      </c>
      <c r="D591" s="375"/>
      <c r="E591" s="375"/>
      <c r="F591" s="375"/>
      <c r="G591" s="375" t="s">
        <v>101</v>
      </c>
      <c r="H591" s="375"/>
      <c r="I591" s="375"/>
      <c r="J591" s="375" t="s">
        <v>101</v>
      </c>
      <c r="K591" s="375"/>
      <c r="L591" s="375"/>
      <c r="M591" s="455">
        <f>VLOOKUP("00-00181404",'Выгрузка из 1С'!$B$4:$K$2000,10,FALSE)</f>
        <v>60360</v>
      </c>
      <c r="N591" s="455"/>
      <c r="O591" s="455"/>
      <c r="P591" s="455">
        <f>VLOOKUP("00-00181405",'Выгрузка из 1С'!$B$4:$K$2000,10,FALSE)</f>
        <v>63960</v>
      </c>
      <c r="Q591" s="455"/>
      <c r="R591" s="455"/>
      <c r="S591" s="455">
        <f>VLOOKUP("00-00181406",'Выгрузка из 1С'!$B$4:$K$2000,10,FALSE)</f>
        <v>64920</v>
      </c>
      <c r="T591" s="455"/>
      <c r="U591" s="455"/>
      <c r="V591" s="455">
        <f>VLOOKUP("00-00181407",'Выгрузка из 1С'!$B$4:$K$2000,10,FALSE)</f>
        <v>69480</v>
      </c>
      <c r="W591" s="455"/>
      <c r="X591" s="455"/>
      <c r="Y591" s="455">
        <f>VLOOKUP("00-00181408",'Выгрузка из 1С'!$B$4:$K$2000,10,FALSE)</f>
        <v>71280</v>
      </c>
      <c r="Z591" s="455"/>
      <c r="AA591" s="455"/>
      <c r="AB591" s="455">
        <f>VLOOKUP("00-00181409",'Выгрузка из 1С'!$B$4:$K$2000,10,FALSE)</f>
        <v>80880</v>
      </c>
      <c r="AC591" s="455"/>
      <c r="AD591" s="455"/>
      <c r="AE591" s="455">
        <f>VLOOKUP("00-00181410",'Выгрузка из 1С'!$B$4:$K$2000,10,FALSE)</f>
        <v>90000</v>
      </c>
      <c r="AF591" s="455"/>
      <c r="AG591" s="455"/>
      <c r="AH591" s="455">
        <f>VLOOKUP("00-00181411",'Выгрузка из 1С'!$B$4:$K$2000,10,FALSE)</f>
        <v>103320</v>
      </c>
      <c r="AI591" s="455"/>
      <c r="AJ591" s="455"/>
      <c r="AK591" s="455">
        <f>VLOOKUP("00-00181412",'Выгрузка из 1С'!$B$4:$K$2000,10,FALSE)</f>
        <v>140280</v>
      </c>
      <c r="AL591" s="455"/>
      <c r="AM591" s="455"/>
      <c r="AN591" s="455">
        <f>VLOOKUP("00-00181413",'Выгрузка из 1С'!$B$4:$K$2000,10,FALSE)</f>
        <v>254640</v>
      </c>
      <c r="AO591" s="455"/>
      <c r="AP591" s="455"/>
      <c r="AQ591" s="455">
        <f>VLOOKUP("00-00196137",'Выгрузка из 1С'!$B$4:$K$2000,10,FALSE)</f>
        <v>454800</v>
      </c>
      <c r="AR591" s="455"/>
      <c r="AS591" s="455"/>
      <c r="AT591" s="230"/>
      <c r="AV591" s="99"/>
      <c r="AW591" s="220"/>
      <c r="AX591" s="220"/>
    </row>
    <row r="592" spans="1:50" ht="9.75" customHeight="1" x14ac:dyDescent="0.25">
      <c r="AW592" s="35"/>
      <c r="AX592" s="35"/>
    </row>
    <row r="593" spans="1:50" s="138" customFormat="1" ht="14.25" customHeight="1" x14ac:dyDescent="0.25">
      <c r="A593" s="7"/>
      <c r="B593" s="7"/>
      <c r="C593" s="735" t="s">
        <v>1064</v>
      </c>
      <c r="D593" s="735"/>
      <c r="E593" s="735"/>
      <c r="F593" s="735"/>
      <c r="G593" s="735"/>
      <c r="H593" s="735"/>
      <c r="I593" s="735"/>
      <c r="J593" s="735"/>
      <c r="K593" s="735"/>
      <c r="L593" s="735"/>
      <c r="M593" s="735"/>
      <c r="N593" s="735"/>
      <c r="O593" s="735"/>
      <c r="P593" s="735"/>
      <c r="Q593" s="735"/>
      <c r="R593" s="735"/>
      <c r="S593" s="735"/>
      <c r="T593" s="735"/>
      <c r="U593" s="735"/>
      <c r="V593" s="735"/>
      <c r="W593" s="735"/>
      <c r="X593" s="735"/>
      <c r="Y593" s="735"/>
      <c r="Z593" s="735"/>
      <c r="AA593" s="735"/>
      <c r="AB593" s="735"/>
      <c r="AC593" s="735"/>
      <c r="AD593" s="735"/>
      <c r="AE593" s="735"/>
      <c r="AF593" s="735"/>
      <c r="AG593" s="735"/>
      <c r="AH593" s="735"/>
      <c r="AI593" s="735"/>
      <c r="AJ593" s="735"/>
      <c r="AK593" s="735"/>
      <c r="AL593" s="735"/>
      <c r="AM593" s="735"/>
      <c r="AN593" s="735"/>
      <c r="AO593" s="735"/>
      <c r="AP593" s="735"/>
      <c r="AQ593" s="735"/>
      <c r="AR593" s="735"/>
      <c r="AS593" s="735"/>
    </row>
    <row r="594" spans="1:50" s="25" customFormat="1" ht="14.25" customHeight="1" x14ac:dyDescent="0.25">
      <c r="A594" s="272"/>
      <c r="B594" s="272"/>
      <c r="C594" s="301" t="s">
        <v>1061</v>
      </c>
      <c r="D594" s="301"/>
      <c r="E594" s="301"/>
      <c r="F594" s="301"/>
      <c r="G594" s="375" t="s">
        <v>1063</v>
      </c>
      <c r="H594" s="375"/>
      <c r="I594" s="375"/>
      <c r="J594" s="375"/>
      <c r="K594" s="375"/>
      <c r="L594" s="375"/>
      <c r="M594" s="375"/>
      <c r="N594" s="375"/>
      <c r="O594" s="375"/>
      <c r="P594" s="375"/>
      <c r="Q594" s="375"/>
      <c r="R594" s="375"/>
      <c r="S594" s="375"/>
      <c r="T594" s="375"/>
      <c r="U594" s="375"/>
      <c r="V594" s="375"/>
      <c r="W594" s="375"/>
      <c r="X594" s="375"/>
      <c r="Y594" s="375"/>
      <c r="Z594" s="375"/>
      <c r="AA594" s="375"/>
      <c r="AB594" s="375"/>
      <c r="AC594" s="375"/>
      <c r="AD594" s="375"/>
      <c r="AE594" s="375"/>
      <c r="AF594" s="375"/>
      <c r="AG594" s="375"/>
      <c r="AH594" s="375"/>
      <c r="AI594" s="375"/>
      <c r="AJ594" s="375"/>
      <c r="AK594" s="375"/>
      <c r="AL594" s="375"/>
      <c r="AM594" s="375"/>
      <c r="AN594" s="375"/>
      <c r="AO594" s="375"/>
      <c r="AP594" s="375"/>
      <c r="AQ594" s="375"/>
      <c r="AR594" s="375"/>
      <c r="AS594" s="375"/>
    </row>
    <row r="595" spans="1:50" s="25" customFormat="1" ht="14.25" customHeight="1" x14ac:dyDescent="0.25">
      <c r="A595" s="7"/>
      <c r="B595" s="7"/>
      <c r="C595" s="301" t="s">
        <v>1060</v>
      </c>
      <c r="D595" s="301"/>
      <c r="E595" s="301"/>
      <c r="F595" s="301"/>
      <c r="G595" s="461">
        <f>3100*1.2</f>
        <v>3720</v>
      </c>
      <c r="H595" s="461"/>
      <c r="I595" s="461"/>
      <c r="J595" s="461"/>
      <c r="K595" s="461"/>
      <c r="L595" s="461"/>
      <c r="M595" s="461"/>
      <c r="N595" s="461"/>
      <c r="O595" s="461"/>
      <c r="P595" s="461"/>
      <c r="Q595" s="461"/>
      <c r="R595" s="461"/>
      <c r="S595" s="461"/>
      <c r="T595" s="461"/>
      <c r="U595" s="461"/>
      <c r="V595" s="461"/>
      <c r="W595" s="461"/>
      <c r="X595" s="461"/>
      <c r="Y595" s="461"/>
      <c r="Z595" s="461"/>
      <c r="AA595" s="461"/>
      <c r="AB595" s="461"/>
      <c r="AC595" s="461"/>
      <c r="AD595" s="461"/>
      <c r="AE595" s="461"/>
      <c r="AF595" s="461"/>
      <c r="AG595" s="461"/>
      <c r="AH595" s="461"/>
      <c r="AI595" s="461"/>
      <c r="AJ595" s="461"/>
      <c r="AK595" s="461"/>
      <c r="AL595" s="461"/>
      <c r="AM595" s="461"/>
      <c r="AN595" s="461"/>
      <c r="AO595" s="461"/>
      <c r="AP595" s="461"/>
      <c r="AQ595" s="461"/>
      <c r="AR595" s="461"/>
      <c r="AS595" s="461"/>
    </row>
    <row r="596" spans="1:50" s="25" customFormat="1" ht="14.25" customHeight="1" x14ac:dyDescent="0.25">
      <c r="A596" s="272"/>
      <c r="B596" s="272"/>
      <c r="C596" s="301" t="s">
        <v>1062</v>
      </c>
      <c r="D596" s="301"/>
      <c r="E596" s="301"/>
      <c r="F596" s="301"/>
      <c r="G596" s="461">
        <f>18000*1.2</f>
        <v>21600</v>
      </c>
      <c r="H596" s="461"/>
      <c r="I596" s="461"/>
      <c r="J596" s="461"/>
      <c r="K596" s="461"/>
      <c r="L596" s="461"/>
      <c r="M596" s="461"/>
      <c r="N596" s="461"/>
      <c r="O596" s="461"/>
      <c r="P596" s="461"/>
      <c r="Q596" s="461"/>
      <c r="R596" s="461"/>
      <c r="S596" s="461"/>
      <c r="T596" s="461"/>
      <c r="U596" s="461"/>
      <c r="V596" s="461"/>
      <c r="W596" s="461"/>
      <c r="X596" s="461"/>
      <c r="Y596" s="461"/>
      <c r="Z596" s="461"/>
      <c r="AA596" s="461"/>
      <c r="AB596" s="461"/>
      <c r="AC596" s="461"/>
      <c r="AD596" s="461"/>
      <c r="AE596" s="461"/>
      <c r="AF596" s="461"/>
      <c r="AG596" s="461"/>
      <c r="AH596" s="461"/>
      <c r="AI596" s="461"/>
      <c r="AJ596" s="461"/>
      <c r="AK596" s="461">
        <f>24000*1.2</f>
        <v>28800</v>
      </c>
      <c r="AL596" s="461"/>
      <c r="AM596" s="461"/>
      <c r="AN596" s="461"/>
      <c r="AO596" s="461"/>
      <c r="AP596" s="461"/>
      <c r="AQ596" s="461"/>
      <c r="AR596" s="461"/>
      <c r="AS596" s="461"/>
    </row>
    <row r="597" spans="1:50" s="25" customFormat="1" ht="14.25" customHeight="1" x14ac:dyDescent="0.25">
      <c r="A597" s="272"/>
      <c r="B597" s="272"/>
      <c r="C597" s="288" t="s">
        <v>1065</v>
      </c>
      <c r="D597" s="289"/>
      <c r="E597" s="289"/>
      <c r="F597" s="289"/>
      <c r="G597" s="294"/>
      <c r="H597" s="294"/>
      <c r="I597" s="294"/>
      <c r="J597" s="294"/>
      <c r="K597" s="294"/>
      <c r="L597" s="294"/>
      <c r="M597" s="294"/>
      <c r="N597" s="294"/>
      <c r="O597" s="294"/>
      <c r="P597" s="294"/>
      <c r="Q597" s="294"/>
      <c r="R597" s="294"/>
      <c r="S597" s="294"/>
      <c r="T597" s="294"/>
      <c r="U597" s="294"/>
      <c r="V597" s="294"/>
      <c r="W597" s="294"/>
      <c r="X597" s="294"/>
      <c r="Y597" s="294"/>
      <c r="Z597" s="294"/>
      <c r="AA597" s="294"/>
      <c r="AB597" s="294"/>
      <c r="AC597" s="294"/>
      <c r="AD597" s="294"/>
      <c r="AE597" s="294"/>
      <c r="AF597" s="294"/>
      <c r="AG597" s="294"/>
      <c r="AH597" s="294"/>
      <c r="AI597" s="294"/>
      <c r="AJ597" s="294"/>
      <c r="AK597" s="294"/>
      <c r="AL597" s="294"/>
      <c r="AM597" s="294"/>
      <c r="AN597" s="294"/>
      <c r="AO597" s="294"/>
      <c r="AP597" s="294"/>
      <c r="AQ597" s="294"/>
      <c r="AR597" s="294"/>
      <c r="AS597" s="295"/>
    </row>
    <row r="598" spans="1:50" s="25" customFormat="1" ht="14.25" customHeight="1" x14ac:dyDescent="0.25">
      <c r="A598" s="7"/>
      <c r="B598" s="7"/>
      <c r="C598" s="458" t="s">
        <v>1066</v>
      </c>
      <c r="D598" s="459"/>
      <c r="E598" s="459"/>
      <c r="F598" s="459"/>
      <c r="G598" s="459"/>
      <c r="H598" s="459"/>
      <c r="I598" s="459"/>
      <c r="J598" s="459"/>
      <c r="K598" s="459"/>
      <c r="L598" s="459"/>
      <c r="M598" s="459"/>
      <c r="N598" s="459"/>
      <c r="O598" s="459"/>
      <c r="P598" s="459"/>
      <c r="Q598" s="459"/>
      <c r="R598" s="459"/>
      <c r="S598" s="459"/>
      <c r="T598" s="459"/>
      <c r="U598" s="459"/>
      <c r="V598" s="459"/>
      <c r="W598" s="459"/>
      <c r="X598" s="459"/>
      <c r="Y598" s="459"/>
      <c r="Z598" s="459"/>
      <c r="AA598" s="459"/>
      <c r="AB598" s="459"/>
      <c r="AC598" s="459"/>
      <c r="AD598" s="459"/>
      <c r="AE598" s="459"/>
      <c r="AF598" s="459"/>
      <c r="AG598" s="459"/>
      <c r="AH598" s="459"/>
      <c r="AI598" s="459"/>
      <c r="AJ598" s="459"/>
      <c r="AK598" s="459"/>
      <c r="AL598" s="459"/>
      <c r="AM598" s="459"/>
      <c r="AN598" s="459"/>
      <c r="AO598" s="459"/>
      <c r="AP598" s="459"/>
      <c r="AQ598" s="459"/>
      <c r="AR598" s="459"/>
      <c r="AS598" s="460"/>
    </row>
    <row r="599" spans="1:50" ht="9.75" customHeight="1" x14ac:dyDescent="0.25">
      <c r="AW599" s="35"/>
      <c r="AX599" s="35"/>
    </row>
    <row r="600" spans="1:50" s="100" customFormat="1" ht="14.25" customHeight="1" x14ac:dyDescent="0.25">
      <c r="A600" s="4"/>
      <c r="B600" s="4"/>
      <c r="C600" s="450" t="s">
        <v>304</v>
      </c>
      <c r="D600" s="450"/>
      <c r="E600" s="450"/>
      <c r="F600" s="450"/>
      <c r="G600" s="450"/>
      <c r="H600" s="450"/>
      <c r="I600" s="450"/>
      <c r="J600" s="450"/>
      <c r="K600" s="450"/>
      <c r="L600" s="450"/>
      <c r="M600" s="450"/>
      <c r="N600" s="450"/>
      <c r="O600" s="450"/>
      <c r="P600" s="450"/>
      <c r="Q600" s="450"/>
      <c r="R600" s="450"/>
      <c r="S600" s="450"/>
      <c r="T600" s="450"/>
      <c r="U600" s="450"/>
      <c r="V600" s="450"/>
      <c r="W600" s="450"/>
      <c r="X600" s="450"/>
      <c r="Y600" s="450"/>
      <c r="Z600" s="450"/>
      <c r="AA600" s="450"/>
      <c r="AB600" s="450"/>
      <c r="AC600" s="450"/>
      <c r="AD600" s="450"/>
      <c r="AE600" s="450"/>
      <c r="AF600" s="450"/>
      <c r="AG600" s="450"/>
      <c r="AH600" s="450"/>
      <c r="AI600" s="450"/>
      <c r="AJ600" s="450"/>
      <c r="AK600" s="450"/>
      <c r="AL600" s="450"/>
      <c r="AM600" s="450"/>
      <c r="AN600" s="450"/>
      <c r="AO600" s="450"/>
      <c r="AP600" s="450"/>
      <c r="AQ600" s="450"/>
      <c r="AR600" s="450"/>
      <c r="AS600" s="450"/>
      <c r="AW600" s="246"/>
      <c r="AX600" s="246"/>
    </row>
    <row r="601" spans="1:50" ht="14.25" customHeight="1" x14ac:dyDescent="0.25">
      <c r="C601" s="342" t="s">
        <v>305</v>
      </c>
      <c r="D601" s="343"/>
      <c r="E601" s="343"/>
      <c r="F601" s="344"/>
      <c r="G601" s="454" t="s">
        <v>731</v>
      </c>
      <c r="H601" s="454"/>
      <c r="I601" s="454"/>
      <c r="J601" s="454" t="s">
        <v>407</v>
      </c>
      <c r="K601" s="454"/>
      <c r="L601" s="454"/>
      <c r="M601" s="454" t="s">
        <v>408</v>
      </c>
      <c r="N601" s="454"/>
      <c r="O601" s="454"/>
      <c r="P601" s="454" t="s">
        <v>409</v>
      </c>
      <c r="Q601" s="454"/>
      <c r="R601" s="454"/>
      <c r="S601" s="454" t="s">
        <v>410</v>
      </c>
      <c r="T601" s="454"/>
      <c r="U601" s="454"/>
      <c r="V601" s="454" t="s">
        <v>411</v>
      </c>
      <c r="W601" s="454"/>
      <c r="X601" s="454"/>
      <c r="Y601" s="454" t="s">
        <v>412</v>
      </c>
      <c r="Z601" s="454"/>
      <c r="AA601" s="454"/>
      <c r="AB601" s="454" t="s">
        <v>413</v>
      </c>
      <c r="AC601" s="454"/>
      <c r="AD601" s="454"/>
      <c r="AE601" s="454" t="s">
        <v>414</v>
      </c>
      <c r="AF601" s="454"/>
      <c r="AG601" s="454"/>
      <c r="AH601" s="454" t="s">
        <v>415</v>
      </c>
      <c r="AI601" s="454"/>
      <c r="AJ601" s="454"/>
      <c r="AK601" s="454" t="s">
        <v>417</v>
      </c>
      <c r="AL601" s="454"/>
      <c r="AM601" s="454"/>
      <c r="AN601" s="454" t="s">
        <v>418</v>
      </c>
      <c r="AO601" s="454"/>
      <c r="AP601" s="454"/>
      <c r="AQ601" s="454" t="s">
        <v>471</v>
      </c>
      <c r="AR601" s="454"/>
      <c r="AS601" s="454"/>
      <c r="AW601" s="35"/>
      <c r="AX601" s="35"/>
    </row>
    <row r="602" spans="1:50" ht="14.25" customHeight="1" x14ac:dyDescent="0.25">
      <c r="C602" s="456" t="s">
        <v>307</v>
      </c>
      <c r="D602" s="456"/>
      <c r="E602" s="456"/>
      <c r="F602" s="456"/>
      <c r="G602" s="456"/>
      <c r="H602" s="456"/>
      <c r="I602" s="456"/>
      <c r="J602" s="456"/>
      <c r="K602" s="456"/>
      <c r="L602" s="456"/>
      <c r="M602" s="456"/>
      <c r="N602" s="456"/>
      <c r="O602" s="456"/>
      <c r="P602" s="456"/>
      <c r="Q602" s="456"/>
      <c r="R602" s="456"/>
      <c r="S602" s="456"/>
      <c r="T602" s="456"/>
      <c r="U602" s="456"/>
      <c r="V602" s="456"/>
      <c r="W602" s="456"/>
      <c r="X602" s="456"/>
      <c r="Y602" s="456"/>
      <c r="Z602" s="456"/>
      <c r="AA602" s="456"/>
      <c r="AB602" s="456"/>
      <c r="AC602" s="456"/>
      <c r="AD602" s="456"/>
      <c r="AE602" s="456"/>
      <c r="AF602" s="456"/>
      <c r="AG602" s="456"/>
      <c r="AH602" s="456"/>
      <c r="AI602" s="456"/>
      <c r="AJ602" s="456"/>
      <c r="AK602" s="456"/>
      <c r="AL602" s="456"/>
      <c r="AM602" s="456"/>
      <c r="AN602" s="456"/>
      <c r="AO602" s="456"/>
      <c r="AP602" s="456"/>
      <c r="AQ602" s="456"/>
      <c r="AR602" s="456"/>
      <c r="AS602" s="456"/>
      <c r="AW602" s="35"/>
      <c r="AX602" s="35"/>
    </row>
    <row r="603" spans="1:50" ht="14.25" customHeight="1" x14ac:dyDescent="0.25">
      <c r="C603" s="454" t="s">
        <v>308</v>
      </c>
      <c r="D603" s="454"/>
      <c r="E603" s="454"/>
      <c r="F603" s="454"/>
      <c r="G603" s="455">
        <f>VLOOKUP("УТ-00096903",'Выгрузка из 1С'!$B$4:$K$2000,10,FALSE)</f>
        <v>2640</v>
      </c>
      <c r="H603" s="455"/>
      <c r="I603" s="455"/>
      <c r="J603" s="455">
        <f>VLOOKUP("УТ-00096838",'Выгрузка из 1С'!$B$4:$K$2000,10,FALSE)</f>
        <v>2760</v>
      </c>
      <c r="K603" s="455"/>
      <c r="L603" s="455"/>
      <c r="M603" s="455">
        <f>VLOOKUP("УТ-00104923",'Выгрузка из 1С'!$B$4:$K$2000,10,FALSE)</f>
        <v>3240</v>
      </c>
      <c r="N603" s="455"/>
      <c r="O603" s="455"/>
      <c r="P603" s="455">
        <f>VLOOKUP("00-00181448",'Выгрузка из 1С'!$B$4:$K$2000,10,FALSE)</f>
        <v>3240</v>
      </c>
      <c r="Q603" s="455"/>
      <c r="R603" s="455"/>
      <c r="S603" s="455">
        <f>VLOOKUP("УТ-00100009",'Выгрузка из 1С'!$B$4:$K$2000,10,FALSE)</f>
        <v>3960</v>
      </c>
      <c r="T603" s="455"/>
      <c r="U603" s="455"/>
      <c r="V603" s="455">
        <f>VLOOKUP("УТ-00099980",'Выгрузка из 1С'!$B$4:$K$2000,10,FALSE)</f>
        <v>4080</v>
      </c>
      <c r="W603" s="455"/>
      <c r="X603" s="455"/>
      <c r="Y603" s="455">
        <f>VLOOKUP("00-00196139",'Выгрузка из 1С'!$B$4:$K$2000,10,FALSE)</f>
        <v>4320</v>
      </c>
      <c r="Z603" s="455"/>
      <c r="AA603" s="455"/>
      <c r="AB603" s="455">
        <f>VLOOKUP("УТ-00100010",'Выгрузка из 1С'!$B$4:$K$2000,10,FALSE)</f>
        <v>5760</v>
      </c>
      <c r="AC603" s="455"/>
      <c r="AD603" s="455"/>
      <c r="AE603" s="455">
        <f>VLOOKUP("УТ-00099580",'Выгрузка из 1С'!$B$4:$K$2000,10,FALSE)</f>
        <v>6600</v>
      </c>
      <c r="AF603" s="455"/>
      <c r="AG603" s="455"/>
      <c r="AH603" s="455">
        <f>VLOOKUP("УТ-00099639",'Выгрузка из 1С'!$B$4:$K$2000,10,FALSE)</f>
        <v>10080</v>
      </c>
      <c r="AI603" s="455"/>
      <c r="AJ603" s="455"/>
      <c r="AK603" s="455">
        <f>VLOOKUP("УТ-00104920",'Выгрузка из 1С'!$B$4:$K$2000,10,FALSE)</f>
        <v>15240</v>
      </c>
      <c r="AL603" s="455"/>
      <c r="AM603" s="455"/>
      <c r="AN603" s="456" t="s">
        <v>101</v>
      </c>
      <c r="AO603" s="456"/>
      <c r="AP603" s="456"/>
      <c r="AQ603" s="456" t="s">
        <v>101</v>
      </c>
      <c r="AR603" s="456"/>
      <c r="AS603" s="456"/>
      <c r="AW603" s="35"/>
      <c r="AX603" s="35"/>
    </row>
    <row r="604" spans="1:50" ht="14.25" customHeight="1" x14ac:dyDescent="0.25">
      <c r="C604" s="456" t="s">
        <v>309</v>
      </c>
      <c r="D604" s="456"/>
      <c r="E604" s="456"/>
      <c r="F604" s="456"/>
      <c r="G604" s="456"/>
      <c r="H604" s="456"/>
      <c r="I604" s="456"/>
      <c r="J604" s="456"/>
      <c r="K604" s="456"/>
      <c r="L604" s="456"/>
      <c r="M604" s="456"/>
      <c r="N604" s="456"/>
      <c r="O604" s="456"/>
      <c r="P604" s="456"/>
      <c r="Q604" s="456"/>
      <c r="R604" s="456"/>
      <c r="S604" s="456"/>
      <c r="T604" s="456"/>
      <c r="U604" s="456"/>
      <c r="V604" s="456"/>
      <c r="W604" s="456"/>
      <c r="X604" s="456"/>
      <c r="Y604" s="456"/>
      <c r="Z604" s="456"/>
      <c r="AA604" s="456"/>
      <c r="AB604" s="456"/>
      <c r="AC604" s="456"/>
      <c r="AD604" s="456"/>
      <c r="AE604" s="456"/>
      <c r="AF604" s="456"/>
      <c r="AG604" s="456"/>
      <c r="AH604" s="456"/>
      <c r="AI604" s="456"/>
      <c r="AJ604" s="456"/>
      <c r="AK604" s="456"/>
      <c r="AL604" s="456"/>
      <c r="AM604" s="456"/>
      <c r="AN604" s="456"/>
      <c r="AO604" s="456"/>
      <c r="AP604" s="456"/>
      <c r="AQ604" s="456"/>
      <c r="AR604" s="456"/>
      <c r="AS604" s="456"/>
      <c r="AW604" s="35"/>
      <c r="AX604" s="35"/>
    </row>
    <row r="605" spans="1:50" ht="14.25" customHeight="1" x14ac:dyDescent="0.25">
      <c r="C605" s="454" t="s">
        <v>308</v>
      </c>
      <c r="D605" s="454"/>
      <c r="E605" s="454"/>
      <c r="F605" s="454"/>
      <c r="G605" s="454" t="s">
        <v>101</v>
      </c>
      <c r="H605" s="454"/>
      <c r="I605" s="454"/>
      <c r="J605" s="454" t="s">
        <v>101</v>
      </c>
      <c r="K605" s="454"/>
      <c r="L605" s="454"/>
      <c r="M605" s="455">
        <f>VLOOKUP("УТ-00099640",'Выгрузка из 1С'!$B$4:$K$2000,10,FALSE)</f>
        <v>3480</v>
      </c>
      <c r="N605" s="455"/>
      <c r="O605" s="455"/>
      <c r="P605" s="455">
        <f>VLOOKUP("УТ-00096837",'Выгрузка из 1С'!$B$4:$K$2000,10,FALSE)</f>
        <v>3960</v>
      </c>
      <c r="Q605" s="455"/>
      <c r="R605" s="455"/>
      <c r="S605" s="455">
        <f>VLOOKUP("УТ-00096836",'Выгрузка из 1С'!$B$4:$K$2000,10,FALSE)</f>
        <v>5160</v>
      </c>
      <c r="T605" s="455"/>
      <c r="U605" s="455"/>
      <c r="V605" s="455">
        <f>VLOOKUP("УТ-00096899",'Выгрузка из 1С'!$B$4:$K$2000,10,FALSE)</f>
        <v>5640</v>
      </c>
      <c r="W605" s="455"/>
      <c r="X605" s="455"/>
      <c r="Y605" s="455">
        <f>VLOOKUP("УТ-00099641",'Выгрузка из 1С'!$B$4:$K$2000,10,FALSE)</f>
        <v>6240</v>
      </c>
      <c r="Z605" s="455"/>
      <c r="AA605" s="455"/>
      <c r="AB605" s="455">
        <f>VLOOKUP("УТ-00104892",'Выгрузка из 1С'!$B$4:$K$2000,10,FALSE)</f>
        <v>7560</v>
      </c>
      <c r="AC605" s="455"/>
      <c r="AD605" s="455"/>
      <c r="AE605" s="455">
        <f>VLOOKUP("УТ-00099642",'Выгрузка из 1С'!$B$4:$K$2000,10,FALSE)</f>
        <v>8880</v>
      </c>
      <c r="AF605" s="455"/>
      <c r="AG605" s="455"/>
      <c r="AH605" s="455">
        <f>VLOOKUP("00-00181446",'Выгрузка из 1С'!$B$4:$K$2000,10,FALSE)</f>
        <v>12480</v>
      </c>
      <c r="AI605" s="455"/>
      <c r="AJ605" s="455"/>
      <c r="AK605" s="455">
        <f>VLOOKUP("УТ-00096835",'Выгрузка из 1С'!$B$4:$K$2000,10,FALSE)</f>
        <v>19200</v>
      </c>
      <c r="AL605" s="455"/>
      <c r="AM605" s="455"/>
      <c r="AN605" s="455">
        <f>VLOOKUP("00-00181447",'Выгрузка из 1С'!$B$4:$K$2000,10,FALSE)</f>
        <v>29640</v>
      </c>
      <c r="AO605" s="455"/>
      <c r="AP605" s="455"/>
      <c r="AQ605" s="455">
        <f>VLOOKUP("УТ-00096898",'Выгрузка из 1С'!$B$4:$K$2000,10,FALSE)</f>
        <v>42840</v>
      </c>
      <c r="AR605" s="455"/>
      <c r="AS605" s="455"/>
      <c r="AW605" s="35"/>
      <c r="AX605" s="35"/>
    </row>
    <row r="606" spans="1:50" ht="14.25" customHeight="1" x14ac:dyDescent="0.25">
      <c r="C606" s="457" t="s">
        <v>310</v>
      </c>
      <c r="D606" s="457"/>
      <c r="E606" s="457"/>
      <c r="F606" s="457"/>
      <c r="G606" s="457"/>
      <c r="H606" s="457"/>
      <c r="I606" s="457"/>
      <c r="J606" s="457"/>
      <c r="K606" s="457"/>
      <c r="L606" s="457"/>
      <c r="M606" s="457"/>
      <c r="N606" s="457"/>
      <c r="O606" s="457"/>
      <c r="P606" s="457"/>
      <c r="Q606" s="457"/>
      <c r="R606" s="457"/>
      <c r="S606" s="457"/>
      <c r="T606" s="457"/>
      <c r="U606" s="457"/>
      <c r="V606" s="457"/>
      <c r="W606" s="457"/>
      <c r="X606" s="457"/>
      <c r="Y606" s="457"/>
      <c r="Z606" s="457"/>
      <c r="AA606" s="457"/>
      <c r="AB606" s="457"/>
      <c r="AC606" s="457"/>
      <c r="AD606" s="457"/>
      <c r="AE606" s="457"/>
      <c r="AF606" s="457"/>
      <c r="AG606" s="457"/>
      <c r="AH606" s="457"/>
      <c r="AI606" s="457"/>
      <c r="AJ606" s="457"/>
      <c r="AK606" s="457"/>
      <c r="AL606" s="457"/>
      <c r="AM606" s="457"/>
      <c r="AN606" s="457"/>
      <c r="AO606" s="457"/>
      <c r="AP606" s="457"/>
      <c r="AQ606" s="457"/>
      <c r="AR606" s="457"/>
      <c r="AS606" s="457"/>
      <c r="AW606" s="35"/>
      <c r="AX606" s="35"/>
    </row>
    <row r="607" spans="1:50" s="19" customFormat="1" ht="13.5" customHeight="1" x14ac:dyDescent="0.25">
      <c r="A607" s="104"/>
      <c r="B607" s="104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W607" s="25"/>
      <c r="AX607" s="25"/>
    </row>
    <row r="608" spans="1:50" s="35" customFormat="1" ht="25.5" customHeight="1" x14ac:dyDescent="0.25">
      <c r="A608" s="26"/>
      <c r="B608" s="26"/>
      <c r="C608" s="286" t="s">
        <v>870</v>
      </c>
      <c r="D608" s="145"/>
      <c r="E608" s="145"/>
      <c r="F608" s="145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7"/>
      <c r="T608" s="146"/>
      <c r="U608" s="146"/>
      <c r="V608" s="147"/>
      <c r="W608" s="146"/>
      <c r="X608" s="146"/>
      <c r="Y608" s="147"/>
      <c r="Z608" s="146"/>
      <c r="AA608" s="146"/>
      <c r="AB608" s="147"/>
      <c r="AC608" s="146"/>
      <c r="AD608" s="146"/>
      <c r="AE608" s="147"/>
      <c r="AF608" s="146"/>
      <c r="AG608" s="146"/>
      <c r="AH608" s="147"/>
      <c r="AI608" s="146"/>
      <c r="AJ608" s="146"/>
      <c r="AK608" s="147"/>
      <c r="AL608" s="146"/>
      <c r="AM608" s="146"/>
      <c r="AN608" s="147"/>
      <c r="AO608" s="146"/>
      <c r="AP608" s="146"/>
      <c r="AQ608" s="147"/>
      <c r="AR608" s="146"/>
      <c r="AS608" s="146"/>
    </row>
    <row r="609" spans="1:50" ht="14.25" customHeight="1" x14ac:dyDescent="0.25">
      <c r="C609" s="134"/>
      <c r="D609" s="134"/>
      <c r="E609" s="134"/>
      <c r="F609" s="134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83"/>
      <c r="T609" s="55"/>
      <c r="U609" s="55"/>
      <c r="V609" s="83"/>
      <c r="W609" s="55"/>
      <c r="X609" s="55"/>
      <c r="Y609" s="83"/>
      <c r="Z609" s="55"/>
      <c r="AA609" s="55"/>
      <c r="AB609" s="83"/>
      <c r="AC609" s="55"/>
      <c r="AD609" s="55"/>
      <c r="AE609" s="83"/>
      <c r="AF609" s="55"/>
      <c r="AG609" s="55"/>
      <c r="AH609" s="83"/>
      <c r="AI609" s="55"/>
      <c r="AJ609" s="55"/>
      <c r="AK609" s="83"/>
      <c r="AL609" s="55"/>
      <c r="AM609" s="55"/>
      <c r="AN609" s="83"/>
      <c r="AO609" s="55"/>
      <c r="AP609" s="55"/>
      <c r="AQ609" s="83"/>
      <c r="AR609" s="55"/>
      <c r="AS609" s="55"/>
      <c r="AW609" s="35"/>
      <c r="AX609" s="35"/>
    </row>
    <row r="610" spans="1:50" s="126" customFormat="1" ht="21" customHeight="1" x14ac:dyDescent="0.25">
      <c r="A610" s="148"/>
      <c r="B610" s="105"/>
      <c r="C610" s="426" t="s">
        <v>851</v>
      </c>
      <c r="D610" s="426"/>
      <c r="E610" s="426"/>
      <c r="F610" s="426"/>
      <c r="G610" s="426"/>
      <c r="H610" s="426"/>
      <c r="I610" s="426"/>
      <c r="J610" s="426"/>
      <c r="K610" s="426"/>
      <c r="L610" s="426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  <c r="Z610" s="426"/>
      <c r="AA610" s="426"/>
      <c r="AB610" s="426"/>
      <c r="AC610" s="426"/>
      <c r="AD610" s="426"/>
      <c r="AE610" s="426"/>
      <c r="AF610" s="426"/>
      <c r="AG610" s="426"/>
      <c r="AH610" s="426"/>
      <c r="AI610" s="426"/>
      <c r="AJ610" s="426"/>
      <c r="AK610" s="426"/>
      <c r="AL610" s="426"/>
      <c r="AM610" s="426"/>
      <c r="AN610" s="426"/>
      <c r="AO610" s="426"/>
      <c r="AP610" s="426"/>
      <c r="AQ610" s="426"/>
      <c r="AR610" s="426"/>
      <c r="AS610" s="426"/>
      <c r="AW610" s="247"/>
      <c r="AX610" s="247"/>
    </row>
    <row r="611" spans="1:50" ht="14.25" customHeight="1" x14ac:dyDescent="0.25">
      <c r="C611" s="417" t="s">
        <v>873</v>
      </c>
      <c r="D611" s="417"/>
      <c r="E611" s="417"/>
      <c r="F611" s="417"/>
      <c r="G611" s="417"/>
      <c r="H611" s="417"/>
      <c r="I611" s="417"/>
      <c r="J611" s="417"/>
      <c r="K611" s="417"/>
      <c r="L611" s="417"/>
      <c r="M611" s="417"/>
      <c r="N611" s="417"/>
      <c r="O611" s="417"/>
      <c r="P611" s="417"/>
      <c r="Q611" s="417"/>
      <c r="R611" s="417"/>
      <c r="S611" s="417"/>
      <c r="T611" s="417"/>
      <c r="U611" s="417"/>
      <c r="V611" s="417"/>
      <c r="W611" s="417"/>
      <c r="X611" s="417"/>
      <c r="Y611" s="417"/>
      <c r="Z611" s="417"/>
      <c r="AA611" s="417"/>
      <c r="AB611" s="417"/>
      <c r="AC611" s="417"/>
      <c r="AD611" s="417"/>
      <c r="AE611" s="417"/>
      <c r="AF611" s="417"/>
      <c r="AG611" s="417"/>
      <c r="AH611" s="417"/>
      <c r="AI611" s="417"/>
      <c r="AJ611" s="417"/>
      <c r="AK611" s="417"/>
      <c r="AL611" s="417"/>
      <c r="AM611" s="417"/>
      <c r="AN611" s="428" t="s">
        <v>907</v>
      </c>
      <c r="AO611" s="428"/>
      <c r="AP611" s="428"/>
      <c r="AQ611" s="428"/>
      <c r="AR611" s="428"/>
      <c r="AS611" s="428"/>
      <c r="AW611" s="35"/>
      <c r="AX611" s="35"/>
    </row>
    <row r="612" spans="1:50" ht="14.25" customHeight="1" x14ac:dyDescent="0.25">
      <c r="C612" s="415" t="s">
        <v>766</v>
      </c>
      <c r="D612" s="415"/>
      <c r="E612" s="415"/>
      <c r="F612" s="415"/>
      <c r="G612" s="415"/>
      <c r="H612" s="415"/>
      <c r="I612" s="415"/>
      <c r="J612" s="415"/>
      <c r="K612" s="415"/>
      <c r="L612" s="415"/>
      <c r="M612" s="415"/>
      <c r="N612" s="415"/>
      <c r="O612" s="415"/>
      <c r="P612" s="415"/>
      <c r="Q612" s="415"/>
      <c r="R612" s="415"/>
      <c r="S612" s="415"/>
      <c r="T612" s="415"/>
      <c r="U612" s="415"/>
      <c r="V612" s="415"/>
      <c r="W612" s="415"/>
      <c r="X612" s="415"/>
      <c r="Y612" s="415"/>
      <c r="Z612" s="415"/>
      <c r="AA612" s="415"/>
      <c r="AB612" s="415"/>
      <c r="AC612" s="415"/>
      <c r="AD612" s="415"/>
      <c r="AE612" s="415"/>
      <c r="AF612" s="415"/>
      <c r="AG612" s="415"/>
      <c r="AH612" s="415"/>
      <c r="AI612" s="415"/>
      <c r="AJ612" s="415"/>
      <c r="AK612" s="415"/>
      <c r="AL612" s="415"/>
      <c r="AM612" s="415"/>
      <c r="AN612" s="377" t="s">
        <v>881</v>
      </c>
      <c r="AO612" s="378"/>
      <c r="AP612" s="378"/>
      <c r="AQ612" s="378"/>
      <c r="AR612" s="378"/>
      <c r="AS612" s="379"/>
      <c r="AW612" s="35"/>
      <c r="AX612" s="35"/>
    </row>
    <row r="613" spans="1:50" ht="14.25" customHeight="1" x14ac:dyDescent="0.25">
      <c r="C613" s="415" t="s">
        <v>767</v>
      </c>
      <c r="D613" s="415"/>
      <c r="E613" s="415"/>
      <c r="F613" s="415"/>
      <c r="G613" s="415"/>
      <c r="H613" s="415"/>
      <c r="I613" s="415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377" t="s">
        <v>881</v>
      </c>
      <c r="AO613" s="378"/>
      <c r="AP613" s="378"/>
      <c r="AQ613" s="378"/>
      <c r="AR613" s="378"/>
      <c r="AS613" s="379"/>
      <c r="AW613" s="35"/>
      <c r="AX613" s="35"/>
    </row>
    <row r="614" spans="1:50" ht="14.25" customHeight="1" x14ac:dyDescent="0.25">
      <c r="C614" s="425" t="s">
        <v>875</v>
      </c>
      <c r="D614" s="425"/>
      <c r="E614" s="425"/>
      <c r="F614" s="425"/>
      <c r="G614" s="425"/>
      <c r="H614" s="425"/>
      <c r="I614" s="425"/>
      <c r="J614" s="425"/>
      <c r="K614" s="425"/>
      <c r="L614" s="425"/>
      <c r="M614" s="425"/>
      <c r="N614" s="425"/>
      <c r="O614" s="425"/>
      <c r="P614" s="425"/>
      <c r="Q614" s="425"/>
      <c r="R614" s="425"/>
      <c r="S614" s="425"/>
      <c r="T614" s="425"/>
      <c r="U614" s="425"/>
      <c r="V614" s="425"/>
      <c r="W614" s="425"/>
      <c r="X614" s="425"/>
      <c r="Y614" s="425"/>
      <c r="Z614" s="425"/>
      <c r="AA614" s="425"/>
      <c r="AB614" s="425"/>
      <c r="AC614" s="425"/>
      <c r="AD614" s="425"/>
      <c r="AE614" s="425"/>
      <c r="AF614" s="425"/>
      <c r="AG614" s="425"/>
      <c r="AH614" s="425"/>
      <c r="AI614" s="425"/>
      <c r="AJ614" s="425"/>
      <c r="AK614" s="425"/>
      <c r="AL614" s="425"/>
      <c r="AM614" s="425"/>
      <c r="AN614" s="377" t="s">
        <v>881</v>
      </c>
      <c r="AO614" s="378"/>
      <c r="AP614" s="378"/>
      <c r="AQ614" s="378"/>
      <c r="AR614" s="378"/>
      <c r="AS614" s="379"/>
      <c r="AW614" s="35"/>
      <c r="AX614" s="35"/>
    </row>
    <row r="615" spans="1:50" ht="14.25" customHeight="1" x14ac:dyDescent="0.25"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3"/>
      <c r="AO615" s="143"/>
      <c r="AP615" s="143"/>
      <c r="AQ615" s="143"/>
      <c r="AR615" s="143"/>
      <c r="AS615" s="143"/>
      <c r="AT615" s="35"/>
      <c r="AU615" s="35"/>
      <c r="AV615" s="35"/>
      <c r="AW615" s="35"/>
      <c r="AX615" s="35"/>
    </row>
    <row r="616" spans="1:50" s="126" customFormat="1" ht="20.25" customHeight="1" x14ac:dyDescent="0.25">
      <c r="A616" s="148"/>
      <c r="B616" s="105"/>
      <c r="C616" s="427" t="s">
        <v>852</v>
      </c>
      <c r="D616" s="427"/>
      <c r="E616" s="427"/>
      <c r="F616" s="427"/>
      <c r="G616" s="427"/>
      <c r="H616" s="427"/>
      <c r="I616" s="427"/>
      <c r="J616" s="427"/>
      <c r="K616" s="427"/>
      <c r="L616" s="427"/>
      <c r="M616" s="427"/>
      <c r="N616" s="427"/>
      <c r="O616" s="427"/>
      <c r="P616" s="427"/>
      <c r="Q616" s="427"/>
      <c r="R616" s="427"/>
      <c r="S616" s="427"/>
      <c r="T616" s="427"/>
      <c r="U616" s="427"/>
      <c r="V616" s="427"/>
      <c r="W616" s="427"/>
      <c r="X616" s="427"/>
      <c r="Y616" s="427"/>
      <c r="Z616" s="427"/>
      <c r="AA616" s="427"/>
      <c r="AB616" s="427"/>
      <c r="AC616" s="427"/>
      <c r="AD616" s="427"/>
      <c r="AE616" s="427"/>
      <c r="AF616" s="427"/>
      <c r="AG616" s="427"/>
      <c r="AH616" s="427"/>
      <c r="AI616" s="427"/>
      <c r="AJ616" s="427"/>
      <c r="AK616" s="427"/>
      <c r="AL616" s="427"/>
      <c r="AM616" s="427"/>
      <c r="AN616" s="427"/>
      <c r="AO616" s="427"/>
      <c r="AP616" s="427"/>
      <c r="AQ616" s="427"/>
      <c r="AR616" s="427"/>
      <c r="AS616" s="427"/>
      <c r="AW616" s="247"/>
      <c r="AX616" s="247"/>
    </row>
    <row r="617" spans="1:50" ht="14.25" customHeight="1" x14ac:dyDescent="0.25">
      <c r="C617" s="417" t="s">
        <v>873</v>
      </c>
      <c r="D617" s="417"/>
      <c r="E617" s="417"/>
      <c r="F617" s="417"/>
      <c r="G617" s="417"/>
      <c r="H617" s="417"/>
      <c r="I617" s="417"/>
      <c r="J617" s="417"/>
      <c r="K617" s="417"/>
      <c r="L617" s="417"/>
      <c r="M617" s="417"/>
      <c r="N617" s="417"/>
      <c r="O617" s="417"/>
      <c r="P617" s="417"/>
      <c r="Q617" s="417"/>
      <c r="R617" s="417"/>
      <c r="S617" s="417"/>
      <c r="T617" s="417"/>
      <c r="U617" s="417"/>
      <c r="V617" s="417"/>
      <c r="W617" s="417"/>
      <c r="X617" s="417"/>
      <c r="Y617" s="417"/>
      <c r="Z617" s="417"/>
      <c r="AA617" s="417"/>
      <c r="AB617" s="417"/>
      <c r="AC617" s="417"/>
      <c r="AD617" s="417"/>
      <c r="AE617" s="417"/>
      <c r="AF617" s="417"/>
      <c r="AG617" s="417"/>
      <c r="AH617" s="417"/>
      <c r="AI617" s="417"/>
      <c r="AJ617" s="417"/>
      <c r="AK617" s="417"/>
      <c r="AL617" s="417"/>
      <c r="AM617" s="417"/>
      <c r="AN617" s="345" t="s">
        <v>907</v>
      </c>
      <c r="AO617" s="345"/>
      <c r="AP617" s="345"/>
      <c r="AQ617" s="345"/>
      <c r="AR617" s="345"/>
      <c r="AS617" s="345"/>
      <c r="AW617" s="35"/>
      <c r="AX617" s="35"/>
    </row>
    <row r="618" spans="1:50" ht="14.25" customHeight="1" x14ac:dyDescent="0.25">
      <c r="C618" s="425" t="s">
        <v>768</v>
      </c>
      <c r="D618" s="425"/>
      <c r="E618" s="425"/>
      <c r="F618" s="425"/>
      <c r="G618" s="425"/>
      <c r="H618" s="425"/>
      <c r="I618" s="425"/>
      <c r="J618" s="425"/>
      <c r="K618" s="425"/>
      <c r="L618" s="425"/>
      <c r="M618" s="425"/>
      <c r="N618" s="425"/>
      <c r="O618" s="425"/>
      <c r="P618" s="425"/>
      <c r="Q618" s="425"/>
      <c r="R618" s="425"/>
      <c r="S618" s="425"/>
      <c r="T618" s="425"/>
      <c r="U618" s="425"/>
      <c r="V618" s="425"/>
      <c r="W618" s="425"/>
      <c r="X618" s="425"/>
      <c r="Y618" s="425"/>
      <c r="Z618" s="425"/>
      <c r="AA618" s="425"/>
      <c r="AB618" s="425"/>
      <c r="AC618" s="425"/>
      <c r="AD618" s="425"/>
      <c r="AE618" s="425"/>
      <c r="AF618" s="425"/>
      <c r="AG618" s="425"/>
      <c r="AH618" s="425"/>
      <c r="AI618" s="425"/>
      <c r="AJ618" s="425"/>
      <c r="AK618" s="425"/>
      <c r="AL618" s="425"/>
      <c r="AM618" s="425"/>
      <c r="AN618" s="377" t="s">
        <v>881</v>
      </c>
      <c r="AO618" s="378"/>
      <c r="AP618" s="378"/>
      <c r="AQ618" s="378"/>
      <c r="AR618" s="378"/>
      <c r="AS618" s="379"/>
      <c r="AW618" s="35"/>
      <c r="AX618" s="35"/>
    </row>
    <row r="619" spans="1:50" ht="14.25" customHeight="1" x14ac:dyDescent="0.2">
      <c r="A619" s="30"/>
      <c r="B619" s="30"/>
      <c r="C619" s="425" t="s">
        <v>769</v>
      </c>
      <c r="D619" s="425"/>
      <c r="E619" s="425"/>
      <c r="F619" s="425"/>
      <c r="G619" s="425"/>
      <c r="H619" s="425"/>
      <c r="I619" s="425"/>
      <c r="J619" s="425"/>
      <c r="K619" s="425"/>
      <c r="L619" s="425"/>
      <c r="M619" s="425"/>
      <c r="N619" s="425"/>
      <c r="O619" s="425"/>
      <c r="P619" s="425"/>
      <c r="Q619" s="425"/>
      <c r="R619" s="425"/>
      <c r="S619" s="425"/>
      <c r="T619" s="425"/>
      <c r="U619" s="425"/>
      <c r="V619" s="425"/>
      <c r="W619" s="425"/>
      <c r="X619" s="425"/>
      <c r="Y619" s="425"/>
      <c r="Z619" s="425"/>
      <c r="AA619" s="425"/>
      <c r="AB619" s="425"/>
      <c r="AC619" s="425"/>
      <c r="AD619" s="425"/>
      <c r="AE619" s="425"/>
      <c r="AF619" s="425"/>
      <c r="AG619" s="425"/>
      <c r="AH619" s="425"/>
      <c r="AI619" s="425"/>
      <c r="AJ619" s="425"/>
      <c r="AK619" s="425"/>
      <c r="AL619" s="425"/>
      <c r="AM619" s="425"/>
      <c r="AN619" s="377" t="s">
        <v>881</v>
      </c>
      <c r="AO619" s="378"/>
      <c r="AP619" s="378"/>
      <c r="AQ619" s="378"/>
      <c r="AR619" s="378"/>
      <c r="AS619" s="379"/>
      <c r="AW619" s="35"/>
      <c r="AX619" s="35"/>
    </row>
    <row r="620" spans="1:50" ht="14.25" customHeight="1" x14ac:dyDescent="0.2">
      <c r="A620" s="30"/>
      <c r="B620" s="30"/>
      <c r="C620" s="425" t="s">
        <v>770</v>
      </c>
      <c r="D620" s="425"/>
      <c r="E620" s="425"/>
      <c r="F620" s="425"/>
      <c r="G620" s="425"/>
      <c r="H620" s="425"/>
      <c r="I620" s="425"/>
      <c r="J620" s="425"/>
      <c r="K620" s="425"/>
      <c r="L620" s="425"/>
      <c r="M620" s="425"/>
      <c r="N620" s="425"/>
      <c r="O620" s="425"/>
      <c r="P620" s="425"/>
      <c r="Q620" s="425"/>
      <c r="R620" s="425"/>
      <c r="S620" s="425"/>
      <c r="T620" s="425"/>
      <c r="U620" s="425"/>
      <c r="V620" s="425"/>
      <c r="W620" s="425"/>
      <c r="X620" s="425"/>
      <c r="Y620" s="425"/>
      <c r="Z620" s="425"/>
      <c r="AA620" s="425"/>
      <c r="AB620" s="425"/>
      <c r="AC620" s="425"/>
      <c r="AD620" s="425"/>
      <c r="AE620" s="425"/>
      <c r="AF620" s="425"/>
      <c r="AG620" s="425"/>
      <c r="AH620" s="425"/>
      <c r="AI620" s="425"/>
      <c r="AJ620" s="425"/>
      <c r="AK620" s="425"/>
      <c r="AL620" s="425"/>
      <c r="AM620" s="425"/>
      <c r="AN620" s="377" t="s">
        <v>881</v>
      </c>
      <c r="AO620" s="378"/>
      <c r="AP620" s="378"/>
      <c r="AQ620" s="378"/>
      <c r="AR620" s="378"/>
      <c r="AS620" s="379"/>
      <c r="AW620" s="35"/>
      <c r="AX620" s="35"/>
    </row>
    <row r="621" spans="1:50" ht="14.25" customHeight="1" x14ac:dyDescent="0.2">
      <c r="A621" s="30"/>
      <c r="B621" s="30"/>
      <c r="C621" s="425" t="s">
        <v>876</v>
      </c>
      <c r="D621" s="425"/>
      <c r="E621" s="425"/>
      <c r="F621" s="425"/>
      <c r="G621" s="425"/>
      <c r="H621" s="425"/>
      <c r="I621" s="425"/>
      <c r="J621" s="425"/>
      <c r="K621" s="425"/>
      <c r="L621" s="425"/>
      <c r="M621" s="425"/>
      <c r="N621" s="425"/>
      <c r="O621" s="425"/>
      <c r="P621" s="425"/>
      <c r="Q621" s="425"/>
      <c r="R621" s="425"/>
      <c r="S621" s="425"/>
      <c r="T621" s="425"/>
      <c r="U621" s="425"/>
      <c r="V621" s="425"/>
      <c r="W621" s="425"/>
      <c r="X621" s="425"/>
      <c r="Y621" s="425"/>
      <c r="Z621" s="425"/>
      <c r="AA621" s="425"/>
      <c r="AB621" s="425"/>
      <c r="AC621" s="425"/>
      <c r="AD621" s="425"/>
      <c r="AE621" s="425"/>
      <c r="AF621" s="425"/>
      <c r="AG621" s="425"/>
      <c r="AH621" s="425"/>
      <c r="AI621" s="425"/>
      <c r="AJ621" s="425"/>
      <c r="AK621" s="425"/>
      <c r="AL621" s="425"/>
      <c r="AM621" s="425"/>
      <c r="AN621" s="377" t="s">
        <v>881</v>
      </c>
      <c r="AO621" s="378"/>
      <c r="AP621" s="378"/>
      <c r="AQ621" s="378"/>
      <c r="AR621" s="378"/>
      <c r="AS621" s="379"/>
      <c r="AW621" s="35"/>
      <c r="AX621" s="35"/>
    </row>
    <row r="622" spans="1:50" ht="14.25" customHeight="1" x14ac:dyDescent="0.2">
      <c r="A622" s="30"/>
      <c r="B622" s="30"/>
      <c r="C622" s="416"/>
      <c r="D622" s="416"/>
      <c r="E622" s="416"/>
      <c r="F622" s="416"/>
      <c r="G622" s="416"/>
      <c r="H622" s="416"/>
      <c r="I622" s="416"/>
      <c r="J622" s="416"/>
      <c r="K622" s="416"/>
      <c r="L622" s="416"/>
      <c r="M622" s="416"/>
      <c r="N622" s="416"/>
      <c r="O622" s="416"/>
      <c r="P622" s="416"/>
      <c r="Q622" s="416"/>
      <c r="R622" s="416"/>
      <c r="S622" s="416"/>
      <c r="T622" s="416"/>
      <c r="U622" s="416"/>
      <c r="V622" s="416"/>
      <c r="W622" s="416"/>
      <c r="X622" s="416"/>
      <c r="Y622" s="416"/>
      <c r="Z622" s="416"/>
      <c r="AA622" s="416"/>
      <c r="AB622" s="416"/>
      <c r="AC622" s="416"/>
      <c r="AD622" s="416"/>
      <c r="AE622" s="416"/>
      <c r="AF622" s="416"/>
      <c r="AG622" s="416"/>
      <c r="AH622" s="416"/>
      <c r="AI622" s="416"/>
      <c r="AJ622" s="416"/>
      <c r="AK622" s="416"/>
      <c r="AL622" s="416"/>
      <c r="AM622" s="416"/>
      <c r="AN622" s="418"/>
      <c r="AO622" s="418"/>
      <c r="AP622" s="418"/>
      <c r="AQ622" s="418"/>
      <c r="AR622" s="418"/>
      <c r="AS622" s="418"/>
      <c r="AW622" s="35"/>
      <c r="AX622" s="35"/>
    </row>
    <row r="623" spans="1:50" ht="14.25" customHeight="1" x14ac:dyDescent="0.2">
      <c r="A623" s="30"/>
      <c r="B623" s="30"/>
      <c r="C623" s="429" t="s">
        <v>853</v>
      </c>
      <c r="D623" s="429"/>
      <c r="E623" s="429"/>
      <c r="F623" s="429"/>
      <c r="G623" s="429"/>
      <c r="H623" s="429"/>
      <c r="I623" s="429"/>
      <c r="J623" s="429"/>
      <c r="K623" s="429"/>
      <c r="L623" s="429"/>
      <c r="M623" s="429"/>
      <c r="N623" s="429"/>
      <c r="O623" s="429"/>
      <c r="P623" s="429"/>
      <c r="Q623" s="429"/>
      <c r="R623" s="429"/>
      <c r="S623" s="429"/>
      <c r="T623" s="429"/>
      <c r="U623" s="429"/>
      <c r="V623" s="429"/>
      <c r="W623" s="429"/>
      <c r="X623" s="429"/>
      <c r="Y623" s="429"/>
      <c r="Z623" s="429"/>
      <c r="AA623" s="429"/>
      <c r="AB623" s="429"/>
      <c r="AC623" s="429"/>
      <c r="AD623" s="429"/>
      <c r="AE623" s="429"/>
      <c r="AF623" s="429"/>
      <c r="AG623" s="429"/>
      <c r="AH623" s="429"/>
      <c r="AI623" s="429"/>
      <c r="AJ623" s="429"/>
      <c r="AK623" s="429"/>
      <c r="AL623" s="429"/>
      <c r="AM623" s="429"/>
      <c r="AN623" s="345" t="s">
        <v>907</v>
      </c>
      <c r="AO623" s="345"/>
      <c r="AP623" s="345"/>
      <c r="AQ623" s="345"/>
      <c r="AR623" s="345"/>
      <c r="AS623" s="345"/>
      <c r="AW623" s="35"/>
      <c r="AX623" s="35"/>
    </row>
    <row r="624" spans="1:50" ht="14.25" customHeight="1" x14ac:dyDescent="0.2">
      <c r="A624" s="30"/>
      <c r="B624" s="30"/>
      <c r="C624" s="425" t="s">
        <v>771</v>
      </c>
      <c r="D624" s="425"/>
      <c r="E624" s="425"/>
      <c r="F624" s="425"/>
      <c r="G624" s="425"/>
      <c r="H624" s="425"/>
      <c r="I624" s="425"/>
      <c r="J624" s="425"/>
      <c r="K624" s="425"/>
      <c r="L624" s="425"/>
      <c r="M624" s="425"/>
      <c r="N624" s="425"/>
      <c r="O624" s="425"/>
      <c r="P624" s="425"/>
      <c r="Q624" s="425"/>
      <c r="R624" s="425"/>
      <c r="S624" s="425"/>
      <c r="T624" s="425"/>
      <c r="U624" s="425"/>
      <c r="V624" s="425"/>
      <c r="W624" s="425"/>
      <c r="X624" s="425"/>
      <c r="Y624" s="425"/>
      <c r="Z624" s="425"/>
      <c r="AA624" s="425"/>
      <c r="AB624" s="425"/>
      <c r="AC624" s="425"/>
      <c r="AD624" s="425"/>
      <c r="AE624" s="425"/>
      <c r="AF624" s="425"/>
      <c r="AG624" s="425"/>
      <c r="AH624" s="425"/>
      <c r="AI624" s="425"/>
      <c r="AJ624" s="425"/>
      <c r="AK624" s="425"/>
      <c r="AL624" s="425"/>
      <c r="AM624" s="425"/>
      <c r="AN624" s="377" t="s">
        <v>881</v>
      </c>
      <c r="AO624" s="378"/>
      <c r="AP624" s="378"/>
      <c r="AQ624" s="378"/>
      <c r="AR624" s="378"/>
      <c r="AS624" s="379"/>
      <c r="AW624" s="35"/>
      <c r="AX624" s="35"/>
    </row>
    <row r="625" spans="1:50" ht="14.25" customHeight="1" x14ac:dyDescent="0.2">
      <c r="A625" s="30"/>
      <c r="B625" s="30"/>
      <c r="C625" s="425" t="s">
        <v>772</v>
      </c>
      <c r="D625" s="425"/>
      <c r="E625" s="425"/>
      <c r="F625" s="425"/>
      <c r="G625" s="425"/>
      <c r="H625" s="425"/>
      <c r="I625" s="425"/>
      <c r="J625" s="425"/>
      <c r="K625" s="425"/>
      <c r="L625" s="425"/>
      <c r="M625" s="425"/>
      <c r="N625" s="425"/>
      <c r="O625" s="425"/>
      <c r="P625" s="425"/>
      <c r="Q625" s="425"/>
      <c r="R625" s="425"/>
      <c r="S625" s="425"/>
      <c r="T625" s="425"/>
      <c r="U625" s="425"/>
      <c r="V625" s="425"/>
      <c r="W625" s="425"/>
      <c r="X625" s="425"/>
      <c r="Y625" s="425"/>
      <c r="Z625" s="425"/>
      <c r="AA625" s="425"/>
      <c r="AB625" s="425"/>
      <c r="AC625" s="425"/>
      <c r="AD625" s="425"/>
      <c r="AE625" s="425"/>
      <c r="AF625" s="425"/>
      <c r="AG625" s="425"/>
      <c r="AH625" s="425"/>
      <c r="AI625" s="425"/>
      <c r="AJ625" s="425"/>
      <c r="AK625" s="425"/>
      <c r="AL625" s="425"/>
      <c r="AM625" s="425"/>
      <c r="AN625" s="377" t="s">
        <v>881</v>
      </c>
      <c r="AO625" s="378"/>
      <c r="AP625" s="378"/>
      <c r="AQ625" s="378"/>
      <c r="AR625" s="378"/>
      <c r="AS625" s="379"/>
      <c r="AW625" s="35"/>
      <c r="AX625" s="35"/>
    </row>
    <row r="626" spans="1:50" ht="14.25" customHeight="1" x14ac:dyDescent="0.2">
      <c r="A626" s="30"/>
      <c r="B626" s="30"/>
      <c r="C626" s="425" t="s">
        <v>773</v>
      </c>
      <c r="D626" s="425"/>
      <c r="E626" s="425"/>
      <c r="F626" s="425"/>
      <c r="G626" s="425"/>
      <c r="H626" s="425"/>
      <c r="I626" s="425"/>
      <c r="J626" s="425"/>
      <c r="K626" s="425"/>
      <c r="L626" s="425"/>
      <c r="M626" s="425"/>
      <c r="N626" s="425"/>
      <c r="O626" s="425"/>
      <c r="P626" s="425"/>
      <c r="Q626" s="425"/>
      <c r="R626" s="425"/>
      <c r="S626" s="425"/>
      <c r="T626" s="425"/>
      <c r="U626" s="425"/>
      <c r="V626" s="425"/>
      <c r="W626" s="425"/>
      <c r="X626" s="425"/>
      <c r="Y626" s="425"/>
      <c r="Z626" s="425"/>
      <c r="AA626" s="425"/>
      <c r="AB626" s="425"/>
      <c r="AC626" s="425"/>
      <c r="AD626" s="425"/>
      <c r="AE626" s="425"/>
      <c r="AF626" s="425"/>
      <c r="AG626" s="425"/>
      <c r="AH626" s="425"/>
      <c r="AI626" s="425"/>
      <c r="AJ626" s="425"/>
      <c r="AK626" s="425"/>
      <c r="AL626" s="425"/>
      <c r="AM626" s="425"/>
      <c r="AN626" s="377" t="s">
        <v>881</v>
      </c>
      <c r="AO626" s="378"/>
      <c r="AP626" s="378"/>
      <c r="AQ626" s="378"/>
      <c r="AR626" s="378"/>
      <c r="AS626" s="379"/>
      <c r="AW626" s="35"/>
      <c r="AX626" s="35"/>
    </row>
    <row r="627" spans="1:50" ht="14.25" customHeight="1" x14ac:dyDescent="0.2">
      <c r="A627" s="30"/>
      <c r="B627" s="30"/>
      <c r="C627" s="425" t="s">
        <v>774</v>
      </c>
      <c r="D627" s="425"/>
      <c r="E627" s="425"/>
      <c r="F627" s="425"/>
      <c r="G627" s="425"/>
      <c r="H627" s="425"/>
      <c r="I627" s="425"/>
      <c r="J627" s="425"/>
      <c r="K627" s="425"/>
      <c r="L627" s="425"/>
      <c r="M627" s="425"/>
      <c r="N627" s="425"/>
      <c r="O627" s="425"/>
      <c r="P627" s="425"/>
      <c r="Q627" s="425"/>
      <c r="R627" s="425"/>
      <c r="S627" s="425"/>
      <c r="T627" s="425"/>
      <c r="U627" s="425"/>
      <c r="V627" s="425"/>
      <c r="W627" s="425"/>
      <c r="X627" s="425"/>
      <c r="Y627" s="425"/>
      <c r="Z627" s="425"/>
      <c r="AA627" s="425"/>
      <c r="AB627" s="425"/>
      <c r="AC627" s="425"/>
      <c r="AD627" s="425"/>
      <c r="AE627" s="425"/>
      <c r="AF627" s="425"/>
      <c r="AG627" s="425"/>
      <c r="AH627" s="425"/>
      <c r="AI627" s="425"/>
      <c r="AJ627" s="425"/>
      <c r="AK627" s="425"/>
      <c r="AL627" s="425"/>
      <c r="AM627" s="425"/>
      <c r="AN627" s="377" t="s">
        <v>881</v>
      </c>
      <c r="AO627" s="378"/>
      <c r="AP627" s="378"/>
      <c r="AQ627" s="378"/>
      <c r="AR627" s="378"/>
      <c r="AS627" s="379"/>
      <c r="AW627" s="35"/>
      <c r="AX627" s="35"/>
    </row>
    <row r="628" spans="1:50" ht="14.25" customHeight="1" x14ac:dyDescent="0.2">
      <c r="A628" s="30"/>
      <c r="B628" s="30"/>
      <c r="C628" s="425" t="s">
        <v>775</v>
      </c>
      <c r="D628" s="425"/>
      <c r="E628" s="425"/>
      <c r="F628" s="425"/>
      <c r="G628" s="425"/>
      <c r="H628" s="425"/>
      <c r="I628" s="425"/>
      <c r="J628" s="425"/>
      <c r="K628" s="425"/>
      <c r="L628" s="425"/>
      <c r="M628" s="425"/>
      <c r="N628" s="425"/>
      <c r="O628" s="425"/>
      <c r="P628" s="425"/>
      <c r="Q628" s="425"/>
      <c r="R628" s="425"/>
      <c r="S628" s="425"/>
      <c r="T628" s="425"/>
      <c r="U628" s="425"/>
      <c r="V628" s="425"/>
      <c r="W628" s="425"/>
      <c r="X628" s="425"/>
      <c r="Y628" s="425"/>
      <c r="Z628" s="425"/>
      <c r="AA628" s="425"/>
      <c r="AB628" s="425"/>
      <c r="AC628" s="425"/>
      <c r="AD628" s="425"/>
      <c r="AE628" s="425"/>
      <c r="AF628" s="425"/>
      <c r="AG628" s="425"/>
      <c r="AH628" s="425"/>
      <c r="AI628" s="425"/>
      <c r="AJ628" s="425"/>
      <c r="AK628" s="425"/>
      <c r="AL628" s="425"/>
      <c r="AM628" s="425"/>
      <c r="AN628" s="377" t="s">
        <v>881</v>
      </c>
      <c r="AO628" s="378"/>
      <c r="AP628" s="378"/>
      <c r="AQ628" s="378"/>
      <c r="AR628" s="378"/>
      <c r="AS628" s="379"/>
      <c r="AW628" s="35"/>
      <c r="AX628" s="35"/>
    </row>
    <row r="629" spans="1:50" ht="14.25" customHeight="1" x14ac:dyDescent="0.2">
      <c r="A629" s="30"/>
      <c r="B629" s="30"/>
      <c r="C629" s="425" t="s">
        <v>776</v>
      </c>
      <c r="D629" s="425"/>
      <c r="E629" s="425"/>
      <c r="F629" s="425"/>
      <c r="G629" s="425"/>
      <c r="H629" s="425"/>
      <c r="I629" s="425"/>
      <c r="J629" s="425"/>
      <c r="K629" s="425"/>
      <c r="L629" s="425"/>
      <c r="M629" s="425"/>
      <c r="N629" s="425"/>
      <c r="O629" s="425"/>
      <c r="P629" s="425"/>
      <c r="Q629" s="425"/>
      <c r="R629" s="425"/>
      <c r="S629" s="425"/>
      <c r="T629" s="425"/>
      <c r="U629" s="425"/>
      <c r="V629" s="425"/>
      <c r="W629" s="425"/>
      <c r="X629" s="425"/>
      <c r="Y629" s="425"/>
      <c r="Z629" s="425"/>
      <c r="AA629" s="425"/>
      <c r="AB629" s="425"/>
      <c r="AC629" s="425"/>
      <c r="AD629" s="425"/>
      <c r="AE629" s="425"/>
      <c r="AF629" s="425"/>
      <c r="AG629" s="425"/>
      <c r="AH629" s="425"/>
      <c r="AI629" s="425"/>
      <c r="AJ629" s="425"/>
      <c r="AK629" s="425"/>
      <c r="AL629" s="425"/>
      <c r="AM629" s="425"/>
      <c r="AN629" s="377" t="s">
        <v>881</v>
      </c>
      <c r="AO629" s="378"/>
      <c r="AP629" s="378"/>
      <c r="AQ629" s="378"/>
      <c r="AR629" s="378"/>
      <c r="AS629" s="379"/>
      <c r="AW629" s="35"/>
      <c r="AX629" s="35"/>
    </row>
    <row r="630" spans="1:50" ht="14.25" customHeight="1" x14ac:dyDescent="0.2">
      <c r="A630" s="30"/>
      <c r="B630" s="30"/>
      <c r="C630" s="425" t="s">
        <v>777</v>
      </c>
      <c r="D630" s="425"/>
      <c r="E630" s="425"/>
      <c r="F630" s="425"/>
      <c r="G630" s="425"/>
      <c r="H630" s="425"/>
      <c r="I630" s="425"/>
      <c r="J630" s="425"/>
      <c r="K630" s="425"/>
      <c r="L630" s="425"/>
      <c r="M630" s="425"/>
      <c r="N630" s="425"/>
      <c r="O630" s="425"/>
      <c r="P630" s="425"/>
      <c r="Q630" s="425"/>
      <c r="R630" s="425"/>
      <c r="S630" s="425"/>
      <c r="T630" s="425"/>
      <c r="U630" s="425"/>
      <c r="V630" s="425"/>
      <c r="W630" s="425"/>
      <c r="X630" s="425"/>
      <c r="Y630" s="425"/>
      <c r="Z630" s="425"/>
      <c r="AA630" s="425"/>
      <c r="AB630" s="425"/>
      <c r="AC630" s="425"/>
      <c r="AD630" s="425"/>
      <c r="AE630" s="425"/>
      <c r="AF630" s="425"/>
      <c r="AG630" s="425"/>
      <c r="AH630" s="425"/>
      <c r="AI630" s="425"/>
      <c r="AJ630" s="425"/>
      <c r="AK630" s="425"/>
      <c r="AL630" s="425"/>
      <c r="AM630" s="425"/>
      <c r="AN630" s="377" t="s">
        <v>881</v>
      </c>
      <c r="AO630" s="378"/>
      <c r="AP630" s="378"/>
      <c r="AQ630" s="378"/>
      <c r="AR630" s="378"/>
      <c r="AS630" s="379"/>
      <c r="AW630" s="35"/>
      <c r="AX630" s="35"/>
    </row>
    <row r="631" spans="1:50" ht="14.25" customHeight="1" x14ac:dyDescent="0.2">
      <c r="A631" s="30"/>
      <c r="B631" s="30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3"/>
      <c r="AO631" s="143"/>
      <c r="AP631" s="143"/>
      <c r="AQ631" s="143"/>
      <c r="AR631" s="143"/>
      <c r="AS631" s="143"/>
      <c r="AW631" s="35"/>
      <c r="AX631" s="35"/>
    </row>
    <row r="632" spans="1:50" ht="14.25" customHeight="1" x14ac:dyDescent="0.2">
      <c r="A632" s="30"/>
      <c r="B632" s="30"/>
      <c r="C632" s="417" t="s">
        <v>854</v>
      </c>
      <c r="D632" s="417"/>
      <c r="E632" s="417"/>
      <c r="F632" s="417"/>
      <c r="G632" s="417"/>
      <c r="H632" s="417"/>
      <c r="I632" s="417"/>
      <c r="J632" s="417"/>
      <c r="K632" s="417"/>
      <c r="L632" s="417"/>
      <c r="M632" s="417"/>
      <c r="N632" s="417"/>
      <c r="O632" s="417"/>
      <c r="P632" s="417"/>
      <c r="Q632" s="417"/>
      <c r="R632" s="417"/>
      <c r="S632" s="417"/>
      <c r="T632" s="417"/>
      <c r="U632" s="417"/>
      <c r="V632" s="417"/>
      <c r="W632" s="417"/>
      <c r="X632" s="417"/>
      <c r="Y632" s="417"/>
      <c r="Z632" s="417"/>
      <c r="AA632" s="417"/>
      <c r="AB632" s="417"/>
      <c r="AC632" s="417"/>
      <c r="AD632" s="417"/>
      <c r="AE632" s="417"/>
      <c r="AF632" s="417"/>
      <c r="AG632" s="417"/>
      <c r="AH632" s="417"/>
      <c r="AI632" s="417"/>
      <c r="AJ632" s="417"/>
      <c r="AK632" s="417"/>
      <c r="AL632" s="417"/>
      <c r="AM632" s="417"/>
      <c r="AN632" s="345" t="s">
        <v>907</v>
      </c>
      <c r="AO632" s="345"/>
      <c r="AP632" s="345"/>
      <c r="AQ632" s="345"/>
      <c r="AR632" s="345"/>
      <c r="AS632" s="345"/>
      <c r="AW632" s="35"/>
      <c r="AX632" s="35"/>
    </row>
    <row r="633" spans="1:50" ht="14.25" customHeight="1" x14ac:dyDescent="0.2">
      <c r="A633" s="30"/>
      <c r="B633" s="30"/>
      <c r="C633" s="405" t="s">
        <v>778</v>
      </c>
      <c r="D633" s="405"/>
      <c r="E633" s="405"/>
      <c r="F633" s="405"/>
      <c r="G633" s="405"/>
      <c r="H633" s="405"/>
      <c r="I633" s="405"/>
      <c r="J633" s="405"/>
      <c r="K633" s="405"/>
      <c r="L633" s="405"/>
      <c r="M633" s="405"/>
      <c r="N633" s="405"/>
      <c r="O633" s="405"/>
      <c r="P633" s="405"/>
      <c r="Q633" s="405"/>
      <c r="R633" s="405"/>
      <c r="S633" s="405"/>
      <c r="T633" s="405"/>
      <c r="U633" s="405"/>
      <c r="V633" s="405"/>
      <c r="W633" s="405"/>
      <c r="X633" s="405"/>
      <c r="Y633" s="405"/>
      <c r="Z633" s="405"/>
      <c r="AA633" s="405"/>
      <c r="AB633" s="405"/>
      <c r="AC633" s="405"/>
      <c r="AD633" s="405"/>
      <c r="AE633" s="405"/>
      <c r="AF633" s="405"/>
      <c r="AG633" s="405"/>
      <c r="AH633" s="405"/>
      <c r="AI633" s="405"/>
      <c r="AJ633" s="405"/>
      <c r="AK633" s="405"/>
      <c r="AL633" s="405"/>
      <c r="AM633" s="405"/>
      <c r="AN633" s="377" t="s">
        <v>881</v>
      </c>
      <c r="AO633" s="378"/>
      <c r="AP633" s="378"/>
      <c r="AQ633" s="378"/>
      <c r="AR633" s="378"/>
      <c r="AS633" s="379"/>
      <c r="AW633" s="35"/>
      <c r="AX633" s="35"/>
    </row>
    <row r="634" spans="1:50" ht="14.25" customHeight="1" x14ac:dyDescent="0.2">
      <c r="A634" s="30"/>
      <c r="B634" s="30"/>
      <c r="C634" s="405" t="s">
        <v>779</v>
      </c>
      <c r="D634" s="405"/>
      <c r="E634" s="405"/>
      <c r="F634" s="405"/>
      <c r="G634" s="405"/>
      <c r="H634" s="405"/>
      <c r="I634" s="405"/>
      <c r="J634" s="405"/>
      <c r="K634" s="405"/>
      <c r="L634" s="405"/>
      <c r="M634" s="405"/>
      <c r="N634" s="405"/>
      <c r="O634" s="405"/>
      <c r="P634" s="405"/>
      <c r="Q634" s="405"/>
      <c r="R634" s="405"/>
      <c r="S634" s="405"/>
      <c r="T634" s="405"/>
      <c r="U634" s="405"/>
      <c r="V634" s="405"/>
      <c r="W634" s="405"/>
      <c r="X634" s="405"/>
      <c r="Y634" s="405"/>
      <c r="Z634" s="405"/>
      <c r="AA634" s="405"/>
      <c r="AB634" s="405"/>
      <c r="AC634" s="405"/>
      <c r="AD634" s="405"/>
      <c r="AE634" s="405"/>
      <c r="AF634" s="405"/>
      <c r="AG634" s="405"/>
      <c r="AH634" s="405"/>
      <c r="AI634" s="405"/>
      <c r="AJ634" s="405"/>
      <c r="AK634" s="405"/>
      <c r="AL634" s="405"/>
      <c r="AM634" s="405"/>
      <c r="AN634" s="377" t="s">
        <v>881</v>
      </c>
      <c r="AO634" s="378"/>
      <c r="AP634" s="378"/>
      <c r="AQ634" s="378"/>
      <c r="AR634" s="378"/>
      <c r="AS634" s="379"/>
      <c r="AW634" s="35"/>
      <c r="AX634" s="35"/>
    </row>
    <row r="635" spans="1:50" ht="14.25" customHeight="1" x14ac:dyDescent="0.2">
      <c r="A635" s="30"/>
      <c r="B635" s="30"/>
      <c r="C635" s="405" t="s">
        <v>780</v>
      </c>
      <c r="D635" s="405"/>
      <c r="E635" s="405"/>
      <c r="F635" s="405"/>
      <c r="G635" s="405"/>
      <c r="H635" s="405"/>
      <c r="I635" s="405"/>
      <c r="J635" s="405"/>
      <c r="K635" s="405"/>
      <c r="L635" s="405"/>
      <c r="M635" s="405"/>
      <c r="N635" s="405"/>
      <c r="O635" s="405"/>
      <c r="P635" s="405"/>
      <c r="Q635" s="405"/>
      <c r="R635" s="405"/>
      <c r="S635" s="405"/>
      <c r="T635" s="405"/>
      <c r="U635" s="405"/>
      <c r="V635" s="405"/>
      <c r="W635" s="405"/>
      <c r="X635" s="405"/>
      <c r="Y635" s="405"/>
      <c r="Z635" s="405"/>
      <c r="AA635" s="405"/>
      <c r="AB635" s="405"/>
      <c r="AC635" s="405"/>
      <c r="AD635" s="405"/>
      <c r="AE635" s="405"/>
      <c r="AF635" s="405"/>
      <c r="AG635" s="405"/>
      <c r="AH635" s="405"/>
      <c r="AI635" s="405"/>
      <c r="AJ635" s="405"/>
      <c r="AK635" s="405"/>
      <c r="AL635" s="405"/>
      <c r="AM635" s="405"/>
      <c r="AN635" s="377" t="s">
        <v>881</v>
      </c>
      <c r="AO635" s="378"/>
      <c r="AP635" s="378"/>
      <c r="AQ635" s="378"/>
      <c r="AR635" s="378"/>
      <c r="AS635" s="379"/>
      <c r="AW635" s="35"/>
      <c r="AX635" s="35"/>
    </row>
    <row r="636" spans="1:50" ht="14.25" customHeight="1" x14ac:dyDescent="0.2">
      <c r="A636" s="30"/>
      <c r="B636" s="30"/>
      <c r="C636" s="405" t="s">
        <v>781</v>
      </c>
      <c r="D636" s="405"/>
      <c r="E636" s="405"/>
      <c r="F636" s="405"/>
      <c r="G636" s="405"/>
      <c r="H636" s="405"/>
      <c r="I636" s="405"/>
      <c r="J636" s="405"/>
      <c r="K636" s="405"/>
      <c r="L636" s="405"/>
      <c r="M636" s="405"/>
      <c r="N636" s="405"/>
      <c r="O636" s="405"/>
      <c r="P636" s="405"/>
      <c r="Q636" s="405"/>
      <c r="R636" s="405"/>
      <c r="S636" s="405"/>
      <c r="T636" s="405"/>
      <c r="U636" s="405"/>
      <c r="V636" s="405"/>
      <c r="W636" s="405"/>
      <c r="X636" s="405"/>
      <c r="Y636" s="405"/>
      <c r="Z636" s="405"/>
      <c r="AA636" s="405"/>
      <c r="AB636" s="405"/>
      <c r="AC636" s="405"/>
      <c r="AD636" s="405"/>
      <c r="AE636" s="405"/>
      <c r="AF636" s="405"/>
      <c r="AG636" s="405"/>
      <c r="AH636" s="405"/>
      <c r="AI636" s="405"/>
      <c r="AJ636" s="405"/>
      <c r="AK636" s="405"/>
      <c r="AL636" s="405"/>
      <c r="AM636" s="405"/>
      <c r="AN636" s="377" t="s">
        <v>881</v>
      </c>
      <c r="AO636" s="378"/>
      <c r="AP636" s="378"/>
      <c r="AQ636" s="378"/>
      <c r="AR636" s="378"/>
      <c r="AS636" s="379"/>
      <c r="AW636" s="35"/>
      <c r="AX636" s="35"/>
    </row>
    <row r="637" spans="1:50" ht="14.25" customHeight="1" x14ac:dyDescent="0.2">
      <c r="A637" s="30"/>
      <c r="B637" s="30"/>
      <c r="C637" s="415" t="s">
        <v>782</v>
      </c>
      <c r="D637" s="415"/>
      <c r="E637" s="415"/>
      <c r="F637" s="415"/>
      <c r="G637" s="415"/>
      <c r="H637" s="415"/>
      <c r="I637" s="415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377" t="s">
        <v>881</v>
      </c>
      <c r="AO637" s="378"/>
      <c r="AP637" s="378"/>
      <c r="AQ637" s="378"/>
      <c r="AR637" s="378"/>
      <c r="AS637" s="379"/>
      <c r="AW637" s="35"/>
      <c r="AX637" s="35"/>
    </row>
    <row r="638" spans="1:50" ht="14.25" customHeight="1" x14ac:dyDescent="0.2">
      <c r="A638" s="30"/>
      <c r="B638" s="30"/>
      <c r="C638" s="405" t="s">
        <v>783</v>
      </c>
      <c r="D638" s="405"/>
      <c r="E638" s="405"/>
      <c r="F638" s="405"/>
      <c r="G638" s="405"/>
      <c r="H638" s="405"/>
      <c r="I638" s="405"/>
      <c r="J638" s="405"/>
      <c r="K638" s="405"/>
      <c r="L638" s="405"/>
      <c r="M638" s="405"/>
      <c r="N638" s="405"/>
      <c r="O638" s="405"/>
      <c r="P638" s="405"/>
      <c r="Q638" s="405"/>
      <c r="R638" s="405"/>
      <c r="S638" s="405"/>
      <c r="T638" s="405"/>
      <c r="U638" s="405"/>
      <c r="V638" s="405"/>
      <c r="W638" s="405"/>
      <c r="X638" s="405"/>
      <c r="Y638" s="405"/>
      <c r="Z638" s="405"/>
      <c r="AA638" s="405"/>
      <c r="AB638" s="405"/>
      <c r="AC638" s="405"/>
      <c r="AD638" s="405"/>
      <c r="AE638" s="405"/>
      <c r="AF638" s="405"/>
      <c r="AG638" s="405"/>
      <c r="AH638" s="405"/>
      <c r="AI638" s="405"/>
      <c r="AJ638" s="405"/>
      <c r="AK638" s="405"/>
      <c r="AL638" s="405"/>
      <c r="AM638" s="405"/>
      <c r="AN638" s="377" t="s">
        <v>881</v>
      </c>
      <c r="AO638" s="378"/>
      <c r="AP638" s="378"/>
      <c r="AQ638" s="378"/>
      <c r="AR638" s="378"/>
      <c r="AS638" s="379"/>
      <c r="AW638" s="35"/>
      <c r="AX638" s="35"/>
    </row>
    <row r="639" spans="1:50" ht="14.25" customHeight="1" x14ac:dyDescent="0.2">
      <c r="A639" s="30"/>
      <c r="B639" s="30"/>
      <c r="C639" s="405" t="s">
        <v>784</v>
      </c>
      <c r="D639" s="405"/>
      <c r="E639" s="405"/>
      <c r="F639" s="405"/>
      <c r="G639" s="405"/>
      <c r="H639" s="405"/>
      <c r="I639" s="405"/>
      <c r="J639" s="405"/>
      <c r="K639" s="405"/>
      <c r="L639" s="405"/>
      <c r="M639" s="405"/>
      <c r="N639" s="405"/>
      <c r="O639" s="405"/>
      <c r="P639" s="405"/>
      <c r="Q639" s="405"/>
      <c r="R639" s="405"/>
      <c r="S639" s="405"/>
      <c r="T639" s="405"/>
      <c r="U639" s="405"/>
      <c r="V639" s="405"/>
      <c r="W639" s="405"/>
      <c r="X639" s="405"/>
      <c r="Y639" s="405"/>
      <c r="Z639" s="405"/>
      <c r="AA639" s="405"/>
      <c r="AB639" s="405"/>
      <c r="AC639" s="405"/>
      <c r="AD639" s="405"/>
      <c r="AE639" s="405"/>
      <c r="AF639" s="405"/>
      <c r="AG639" s="405"/>
      <c r="AH639" s="405"/>
      <c r="AI639" s="405"/>
      <c r="AJ639" s="405"/>
      <c r="AK639" s="405"/>
      <c r="AL639" s="405"/>
      <c r="AM639" s="405"/>
      <c r="AN639" s="377" t="s">
        <v>881</v>
      </c>
      <c r="AO639" s="378"/>
      <c r="AP639" s="378"/>
      <c r="AQ639" s="378"/>
      <c r="AR639" s="378"/>
      <c r="AS639" s="379"/>
      <c r="AW639" s="35"/>
      <c r="AX639" s="35"/>
    </row>
    <row r="640" spans="1:50" ht="14.25" customHeight="1" x14ac:dyDescent="0.2">
      <c r="A640" s="30"/>
      <c r="B640" s="30"/>
      <c r="C640" s="405" t="s">
        <v>785</v>
      </c>
      <c r="D640" s="405"/>
      <c r="E640" s="405"/>
      <c r="F640" s="405"/>
      <c r="G640" s="405"/>
      <c r="H640" s="405"/>
      <c r="I640" s="405"/>
      <c r="J640" s="405"/>
      <c r="K640" s="405"/>
      <c r="L640" s="405"/>
      <c r="M640" s="405"/>
      <c r="N640" s="405"/>
      <c r="O640" s="405"/>
      <c r="P640" s="405"/>
      <c r="Q640" s="405"/>
      <c r="R640" s="405"/>
      <c r="S640" s="405"/>
      <c r="T640" s="405"/>
      <c r="U640" s="405"/>
      <c r="V640" s="405"/>
      <c r="W640" s="405"/>
      <c r="X640" s="405"/>
      <c r="Y640" s="405"/>
      <c r="Z640" s="405"/>
      <c r="AA640" s="405"/>
      <c r="AB640" s="405"/>
      <c r="AC640" s="405"/>
      <c r="AD640" s="405"/>
      <c r="AE640" s="405"/>
      <c r="AF640" s="405"/>
      <c r="AG640" s="405"/>
      <c r="AH640" s="405"/>
      <c r="AI640" s="405"/>
      <c r="AJ640" s="405"/>
      <c r="AK640" s="405"/>
      <c r="AL640" s="405"/>
      <c r="AM640" s="405"/>
      <c r="AN640" s="377" t="s">
        <v>881</v>
      </c>
      <c r="AO640" s="378"/>
      <c r="AP640" s="378"/>
      <c r="AQ640" s="378"/>
      <c r="AR640" s="378"/>
      <c r="AS640" s="379"/>
      <c r="AW640" s="35"/>
      <c r="AX640" s="35"/>
    </row>
    <row r="641" spans="1:50" ht="14.25" customHeight="1" x14ac:dyDescent="0.2">
      <c r="A641" s="30"/>
      <c r="B641" s="30"/>
      <c r="C641" s="405" t="s">
        <v>786</v>
      </c>
      <c r="D641" s="405"/>
      <c r="E641" s="405"/>
      <c r="F641" s="405"/>
      <c r="G641" s="405"/>
      <c r="H641" s="405"/>
      <c r="I641" s="405"/>
      <c r="J641" s="405"/>
      <c r="K641" s="405"/>
      <c r="L641" s="405"/>
      <c r="M641" s="405"/>
      <c r="N641" s="405"/>
      <c r="O641" s="405"/>
      <c r="P641" s="405"/>
      <c r="Q641" s="405"/>
      <c r="R641" s="405"/>
      <c r="S641" s="405"/>
      <c r="T641" s="405"/>
      <c r="U641" s="405"/>
      <c r="V641" s="405"/>
      <c r="W641" s="405"/>
      <c r="X641" s="405"/>
      <c r="Y641" s="405"/>
      <c r="Z641" s="405"/>
      <c r="AA641" s="405"/>
      <c r="AB641" s="405"/>
      <c r="AC641" s="405"/>
      <c r="AD641" s="405"/>
      <c r="AE641" s="405"/>
      <c r="AF641" s="405"/>
      <c r="AG641" s="405"/>
      <c r="AH641" s="405"/>
      <c r="AI641" s="405"/>
      <c r="AJ641" s="405"/>
      <c r="AK641" s="405"/>
      <c r="AL641" s="405"/>
      <c r="AM641" s="405"/>
      <c r="AN641" s="377" t="s">
        <v>881</v>
      </c>
      <c r="AO641" s="378"/>
      <c r="AP641" s="378"/>
      <c r="AQ641" s="378"/>
      <c r="AR641" s="378"/>
      <c r="AS641" s="379"/>
      <c r="AW641" s="35"/>
      <c r="AX641" s="35"/>
    </row>
    <row r="642" spans="1:50" ht="14.25" customHeight="1" x14ac:dyDescent="0.2">
      <c r="A642" s="30"/>
      <c r="B642" s="30"/>
      <c r="C642" s="415" t="s">
        <v>787</v>
      </c>
      <c r="D642" s="415"/>
      <c r="E642" s="415"/>
      <c r="F642" s="415"/>
      <c r="G642" s="415"/>
      <c r="H642" s="415"/>
      <c r="I642" s="415"/>
      <c r="J642" s="415"/>
      <c r="K642" s="415"/>
      <c r="L642" s="415"/>
      <c r="M642" s="415"/>
      <c r="N642" s="415"/>
      <c r="O642" s="415"/>
      <c r="P642" s="415"/>
      <c r="Q642" s="415"/>
      <c r="R642" s="415"/>
      <c r="S642" s="415"/>
      <c r="T642" s="415"/>
      <c r="U642" s="415"/>
      <c r="V642" s="415"/>
      <c r="W642" s="415"/>
      <c r="X642" s="415"/>
      <c r="Y642" s="415"/>
      <c r="Z642" s="415"/>
      <c r="AA642" s="415"/>
      <c r="AB642" s="415"/>
      <c r="AC642" s="415"/>
      <c r="AD642" s="415"/>
      <c r="AE642" s="415"/>
      <c r="AF642" s="415"/>
      <c r="AG642" s="415"/>
      <c r="AH642" s="415"/>
      <c r="AI642" s="415"/>
      <c r="AJ642" s="415"/>
      <c r="AK642" s="415"/>
      <c r="AL642" s="415"/>
      <c r="AM642" s="415"/>
      <c r="AN642" s="377" t="s">
        <v>881</v>
      </c>
      <c r="AO642" s="378"/>
      <c r="AP642" s="378"/>
      <c r="AQ642" s="378"/>
      <c r="AR642" s="378"/>
      <c r="AS642" s="379"/>
      <c r="AW642" s="35"/>
      <c r="AX642" s="35"/>
    </row>
    <row r="643" spans="1:50" ht="14.25" customHeight="1" x14ac:dyDescent="0.2">
      <c r="A643" s="30"/>
      <c r="B643" s="30"/>
      <c r="C643" s="415" t="s">
        <v>788</v>
      </c>
      <c r="D643" s="415"/>
      <c r="E643" s="415"/>
      <c r="F643" s="415"/>
      <c r="G643" s="415"/>
      <c r="H643" s="415"/>
      <c r="I643" s="415"/>
      <c r="J643" s="415"/>
      <c r="K643" s="415"/>
      <c r="L643" s="415"/>
      <c r="M643" s="415"/>
      <c r="N643" s="415"/>
      <c r="O643" s="415"/>
      <c r="P643" s="415"/>
      <c r="Q643" s="415"/>
      <c r="R643" s="415"/>
      <c r="S643" s="415"/>
      <c r="T643" s="415"/>
      <c r="U643" s="415"/>
      <c r="V643" s="415"/>
      <c r="W643" s="415"/>
      <c r="X643" s="415"/>
      <c r="Y643" s="415"/>
      <c r="Z643" s="415"/>
      <c r="AA643" s="415"/>
      <c r="AB643" s="415"/>
      <c r="AC643" s="415"/>
      <c r="AD643" s="415"/>
      <c r="AE643" s="415"/>
      <c r="AF643" s="415"/>
      <c r="AG643" s="415"/>
      <c r="AH643" s="415"/>
      <c r="AI643" s="415"/>
      <c r="AJ643" s="415"/>
      <c r="AK643" s="415"/>
      <c r="AL643" s="415"/>
      <c r="AM643" s="415"/>
      <c r="AN643" s="377" t="s">
        <v>881</v>
      </c>
      <c r="AO643" s="378"/>
      <c r="AP643" s="378"/>
      <c r="AQ643" s="378"/>
      <c r="AR643" s="378"/>
      <c r="AS643" s="379"/>
      <c r="AW643" s="35"/>
      <c r="AX643" s="35"/>
    </row>
    <row r="644" spans="1:50" ht="14.25" customHeight="1" x14ac:dyDescent="0.2">
      <c r="A644" s="30"/>
      <c r="B644" s="30"/>
      <c r="C644" s="405" t="s">
        <v>789</v>
      </c>
      <c r="D644" s="405"/>
      <c r="E644" s="405"/>
      <c r="F644" s="405"/>
      <c r="G644" s="405"/>
      <c r="H644" s="405"/>
      <c r="I644" s="405"/>
      <c r="J644" s="405"/>
      <c r="K644" s="405"/>
      <c r="L644" s="405"/>
      <c r="M644" s="405"/>
      <c r="N644" s="405"/>
      <c r="O644" s="405"/>
      <c r="P644" s="405"/>
      <c r="Q644" s="405"/>
      <c r="R644" s="405"/>
      <c r="S644" s="405"/>
      <c r="T644" s="405"/>
      <c r="U644" s="405"/>
      <c r="V644" s="405"/>
      <c r="W644" s="405"/>
      <c r="X644" s="405"/>
      <c r="Y644" s="405"/>
      <c r="Z644" s="405"/>
      <c r="AA644" s="405"/>
      <c r="AB644" s="405"/>
      <c r="AC644" s="405"/>
      <c r="AD644" s="405"/>
      <c r="AE644" s="405"/>
      <c r="AF644" s="405"/>
      <c r="AG644" s="405"/>
      <c r="AH644" s="405"/>
      <c r="AI644" s="405"/>
      <c r="AJ644" s="405"/>
      <c r="AK644" s="405"/>
      <c r="AL644" s="405"/>
      <c r="AM644" s="405"/>
      <c r="AN644" s="377" t="s">
        <v>881</v>
      </c>
      <c r="AO644" s="378"/>
      <c r="AP644" s="378"/>
      <c r="AQ644" s="378"/>
      <c r="AR644" s="378"/>
      <c r="AS644" s="379"/>
      <c r="AW644" s="35"/>
      <c r="AX644" s="35"/>
    </row>
    <row r="645" spans="1:50" ht="14.25" customHeight="1" x14ac:dyDescent="0.2">
      <c r="A645" s="30"/>
      <c r="B645" s="30"/>
      <c r="C645" s="405" t="s">
        <v>790</v>
      </c>
      <c r="D645" s="405"/>
      <c r="E645" s="405"/>
      <c r="F645" s="405"/>
      <c r="G645" s="405"/>
      <c r="H645" s="405"/>
      <c r="I645" s="405"/>
      <c r="J645" s="405"/>
      <c r="K645" s="405"/>
      <c r="L645" s="405"/>
      <c r="M645" s="405"/>
      <c r="N645" s="405"/>
      <c r="O645" s="405"/>
      <c r="P645" s="405"/>
      <c r="Q645" s="405"/>
      <c r="R645" s="405"/>
      <c r="S645" s="405"/>
      <c r="T645" s="405"/>
      <c r="U645" s="405"/>
      <c r="V645" s="405"/>
      <c r="W645" s="405"/>
      <c r="X645" s="405"/>
      <c r="Y645" s="405"/>
      <c r="Z645" s="405"/>
      <c r="AA645" s="405"/>
      <c r="AB645" s="405"/>
      <c r="AC645" s="405"/>
      <c r="AD645" s="405"/>
      <c r="AE645" s="405"/>
      <c r="AF645" s="405"/>
      <c r="AG645" s="405"/>
      <c r="AH645" s="405"/>
      <c r="AI645" s="405"/>
      <c r="AJ645" s="405"/>
      <c r="AK645" s="405"/>
      <c r="AL645" s="405"/>
      <c r="AM645" s="405"/>
      <c r="AN645" s="377" t="s">
        <v>881</v>
      </c>
      <c r="AO645" s="378"/>
      <c r="AP645" s="378"/>
      <c r="AQ645" s="378"/>
      <c r="AR645" s="378"/>
      <c r="AS645" s="379"/>
      <c r="AW645" s="35"/>
      <c r="AX645" s="35"/>
    </row>
    <row r="646" spans="1:50" ht="14.25" customHeight="1" x14ac:dyDescent="0.2">
      <c r="A646" s="30"/>
      <c r="B646" s="30"/>
      <c r="C646" s="415" t="s">
        <v>791</v>
      </c>
      <c r="D646" s="415"/>
      <c r="E646" s="415"/>
      <c r="F646" s="415"/>
      <c r="G646" s="415"/>
      <c r="H646" s="415"/>
      <c r="I646" s="415"/>
      <c r="J646" s="415"/>
      <c r="K646" s="415"/>
      <c r="L646" s="415"/>
      <c r="M646" s="415"/>
      <c r="N646" s="415"/>
      <c r="O646" s="415"/>
      <c r="P646" s="415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  <c r="AH646" s="415"/>
      <c r="AI646" s="415"/>
      <c r="AJ646" s="415"/>
      <c r="AK646" s="415"/>
      <c r="AL646" s="415"/>
      <c r="AM646" s="415"/>
      <c r="AN646" s="377" t="s">
        <v>881</v>
      </c>
      <c r="AO646" s="378"/>
      <c r="AP646" s="378"/>
      <c r="AQ646" s="378"/>
      <c r="AR646" s="378"/>
      <c r="AS646" s="379"/>
      <c r="AW646" s="35"/>
      <c r="AX646" s="35"/>
    </row>
    <row r="647" spans="1:50" ht="14.25" customHeight="1" x14ac:dyDescent="0.2">
      <c r="A647" s="30"/>
      <c r="B647" s="30"/>
      <c r="C647" s="416"/>
      <c r="D647" s="416"/>
      <c r="E647" s="416"/>
      <c r="F647" s="416"/>
      <c r="G647" s="416"/>
      <c r="H647" s="416"/>
      <c r="I647" s="416"/>
      <c r="J647" s="416"/>
      <c r="K647" s="416"/>
      <c r="L647" s="416"/>
      <c r="M647" s="416"/>
      <c r="N647" s="416"/>
      <c r="O647" s="416"/>
      <c r="P647" s="416"/>
      <c r="Q647" s="416"/>
      <c r="R647" s="416"/>
      <c r="S647" s="416"/>
      <c r="T647" s="416"/>
      <c r="U647" s="416"/>
      <c r="V647" s="416"/>
      <c r="W647" s="416"/>
      <c r="X647" s="416"/>
      <c r="Y647" s="416"/>
      <c r="Z647" s="416"/>
      <c r="AA647" s="416"/>
      <c r="AB647" s="416"/>
      <c r="AC647" s="416"/>
      <c r="AD647" s="416"/>
      <c r="AE647" s="416"/>
      <c r="AF647" s="416"/>
      <c r="AG647" s="416"/>
      <c r="AH647" s="416"/>
      <c r="AI647" s="416"/>
      <c r="AJ647" s="416"/>
      <c r="AK647" s="416"/>
      <c r="AL647" s="416"/>
      <c r="AM647" s="416"/>
      <c r="AN647" s="418"/>
      <c r="AO647" s="418"/>
      <c r="AP647" s="418"/>
      <c r="AQ647" s="418"/>
      <c r="AR647" s="418"/>
      <c r="AS647" s="418"/>
      <c r="AW647" s="35"/>
      <c r="AX647" s="35"/>
    </row>
    <row r="648" spans="1:50" ht="14.25" customHeight="1" x14ac:dyDescent="0.2">
      <c r="A648" s="30"/>
      <c r="B648" s="30"/>
      <c r="C648" s="417" t="s">
        <v>855</v>
      </c>
      <c r="D648" s="417"/>
      <c r="E648" s="417"/>
      <c r="F648" s="417"/>
      <c r="G648" s="417"/>
      <c r="H648" s="417"/>
      <c r="I648" s="417"/>
      <c r="J648" s="417"/>
      <c r="K648" s="417"/>
      <c r="L648" s="417"/>
      <c r="M648" s="417"/>
      <c r="N648" s="417"/>
      <c r="O648" s="417"/>
      <c r="P648" s="417"/>
      <c r="Q648" s="417"/>
      <c r="R648" s="417"/>
      <c r="S648" s="417"/>
      <c r="T648" s="417"/>
      <c r="U648" s="417"/>
      <c r="V648" s="417"/>
      <c r="W648" s="417"/>
      <c r="X648" s="417"/>
      <c r="Y648" s="417"/>
      <c r="Z648" s="417"/>
      <c r="AA648" s="417"/>
      <c r="AB648" s="417"/>
      <c r="AC648" s="417"/>
      <c r="AD648" s="417"/>
      <c r="AE648" s="417"/>
      <c r="AF648" s="417"/>
      <c r="AG648" s="417"/>
      <c r="AH648" s="417"/>
      <c r="AI648" s="417"/>
      <c r="AJ648" s="417"/>
      <c r="AK648" s="417"/>
      <c r="AL648" s="417"/>
      <c r="AM648" s="417"/>
      <c r="AN648" s="345" t="s">
        <v>907</v>
      </c>
      <c r="AO648" s="345"/>
      <c r="AP648" s="345"/>
      <c r="AQ648" s="345"/>
      <c r="AR648" s="345"/>
      <c r="AS648" s="345"/>
      <c r="AW648" s="35"/>
      <c r="AX648" s="35"/>
    </row>
    <row r="649" spans="1:50" ht="14.25" customHeight="1" x14ac:dyDescent="0.2">
      <c r="A649" s="30"/>
      <c r="B649" s="30"/>
      <c r="C649" s="405" t="s">
        <v>792</v>
      </c>
      <c r="D649" s="405"/>
      <c r="E649" s="405"/>
      <c r="F649" s="405"/>
      <c r="G649" s="405"/>
      <c r="H649" s="405"/>
      <c r="I649" s="405"/>
      <c r="J649" s="405"/>
      <c r="K649" s="405"/>
      <c r="L649" s="405"/>
      <c r="M649" s="405"/>
      <c r="N649" s="405"/>
      <c r="O649" s="405"/>
      <c r="P649" s="405"/>
      <c r="Q649" s="405"/>
      <c r="R649" s="405"/>
      <c r="S649" s="405"/>
      <c r="T649" s="405"/>
      <c r="U649" s="405"/>
      <c r="V649" s="405"/>
      <c r="W649" s="405"/>
      <c r="X649" s="405"/>
      <c r="Y649" s="405"/>
      <c r="Z649" s="405"/>
      <c r="AA649" s="405"/>
      <c r="AB649" s="405"/>
      <c r="AC649" s="405"/>
      <c r="AD649" s="405"/>
      <c r="AE649" s="405"/>
      <c r="AF649" s="405"/>
      <c r="AG649" s="405"/>
      <c r="AH649" s="405"/>
      <c r="AI649" s="405"/>
      <c r="AJ649" s="405"/>
      <c r="AK649" s="405"/>
      <c r="AL649" s="405"/>
      <c r="AM649" s="405"/>
      <c r="AN649" s="377" t="s">
        <v>881</v>
      </c>
      <c r="AO649" s="378"/>
      <c r="AP649" s="378"/>
      <c r="AQ649" s="378"/>
      <c r="AR649" s="378"/>
      <c r="AS649" s="379"/>
      <c r="AW649" s="35"/>
      <c r="AX649" s="35"/>
    </row>
    <row r="650" spans="1:50" ht="14.25" customHeight="1" x14ac:dyDescent="0.2">
      <c r="A650" s="30"/>
      <c r="B650" s="30"/>
      <c r="C650" s="405" t="s">
        <v>793</v>
      </c>
      <c r="D650" s="405"/>
      <c r="E650" s="405"/>
      <c r="F650" s="405"/>
      <c r="G650" s="405"/>
      <c r="H650" s="405"/>
      <c r="I650" s="405"/>
      <c r="J650" s="405"/>
      <c r="K650" s="405"/>
      <c r="L650" s="405"/>
      <c r="M650" s="405"/>
      <c r="N650" s="405"/>
      <c r="O650" s="405"/>
      <c r="P650" s="405"/>
      <c r="Q650" s="405"/>
      <c r="R650" s="405"/>
      <c r="S650" s="405"/>
      <c r="T650" s="405"/>
      <c r="U650" s="405"/>
      <c r="V650" s="405"/>
      <c r="W650" s="405"/>
      <c r="X650" s="405"/>
      <c r="Y650" s="405"/>
      <c r="Z650" s="405"/>
      <c r="AA650" s="405"/>
      <c r="AB650" s="405"/>
      <c r="AC650" s="405"/>
      <c r="AD650" s="405"/>
      <c r="AE650" s="405"/>
      <c r="AF650" s="405"/>
      <c r="AG650" s="405"/>
      <c r="AH650" s="405"/>
      <c r="AI650" s="405"/>
      <c r="AJ650" s="405"/>
      <c r="AK650" s="405"/>
      <c r="AL650" s="405"/>
      <c r="AM650" s="405"/>
      <c r="AN650" s="377" t="s">
        <v>881</v>
      </c>
      <c r="AO650" s="378"/>
      <c r="AP650" s="378"/>
      <c r="AQ650" s="378"/>
      <c r="AR650" s="378"/>
      <c r="AS650" s="379"/>
      <c r="AW650" s="35"/>
      <c r="AX650" s="35"/>
    </row>
    <row r="651" spans="1:50" ht="14.25" customHeight="1" x14ac:dyDescent="0.25">
      <c r="C651" s="405" t="s">
        <v>794</v>
      </c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  <c r="Z651" s="405"/>
      <c r="AA651" s="405"/>
      <c r="AB651" s="405"/>
      <c r="AC651" s="405"/>
      <c r="AD651" s="405"/>
      <c r="AE651" s="405"/>
      <c r="AF651" s="405"/>
      <c r="AG651" s="405"/>
      <c r="AH651" s="405"/>
      <c r="AI651" s="405"/>
      <c r="AJ651" s="405"/>
      <c r="AK651" s="405"/>
      <c r="AL651" s="405"/>
      <c r="AM651" s="405"/>
      <c r="AN651" s="377" t="s">
        <v>881</v>
      </c>
      <c r="AO651" s="378"/>
      <c r="AP651" s="378"/>
      <c r="AQ651" s="378"/>
      <c r="AR651" s="378"/>
      <c r="AS651" s="379"/>
      <c r="AW651" s="35"/>
      <c r="AX651" s="35"/>
    </row>
    <row r="652" spans="1:50" ht="14.25" customHeight="1" x14ac:dyDescent="0.25">
      <c r="C652" s="405" t="s">
        <v>795</v>
      </c>
      <c r="D652" s="405"/>
      <c r="E652" s="405"/>
      <c r="F652" s="405"/>
      <c r="G652" s="405"/>
      <c r="H652" s="405"/>
      <c r="I652" s="405"/>
      <c r="J652" s="405"/>
      <c r="K652" s="405"/>
      <c r="L652" s="405"/>
      <c r="M652" s="405"/>
      <c r="N652" s="405"/>
      <c r="O652" s="405"/>
      <c r="P652" s="405"/>
      <c r="Q652" s="405"/>
      <c r="R652" s="405"/>
      <c r="S652" s="405"/>
      <c r="T652" s="405"/>
      <c r="U652" s="405"/>
      <c r="V652" s="405"/>
      <c r="W652" s="405"/>
      <c r="X652" s="405"/>
      <c r="Y652" s="405"/>
      <c r="Z652" s="405"/>
      <c r="AA652" s="405"/>
      <c r="AB652" s="405"/>
      <c r="AC652" s="405"/>
      <c r="AD652" s="405"/>
      <c r="AE652" s="405"/>
      <c r="AF652" s="405"/>
      <c r="AG652" s="405"/>
      <c r="AH652" s="405"/>
      <c r="AI652" s="405"/>
      <c r="AJ652" s="405"/>
      <c r="AK652" s="405"/>
      <c r="AL652" s="405"/>
      <c r="AM652" s="405"/>
      <c r="AN652" s="377" t="s">
        <v>881</v>
      </c>
      <c r="AO652" s="378"/>
      <c r="AP652" s="378"/>
      <c r="AQ652" s="378"/>
      <c r="AR652" s="378"/>
      <c r="AS652" s="379"/>
      <c r="AW652" s="35"/>
      <c r="AX652" s="35"/>
    </row>
    <row r="653" spans="1:50" ht="14.25" customHeight="1" x14ac:dyDescent="0.25">
      <c r="C653" s="405" t="s">
        <v>796</v>
      </c>
      <c r="D653" s="405"/>
      <c r="E653" s="405"/>
      <c r="F653" s="405"/>
      <c r="G653" s="405"/>
      <c r="H653" s="405"/>
      <c r="I653" s="405"/>
      <c r="J653" s="405"/>
      <c r="K653" s="405"/>
      <c r="L653" s="405"/>
      <c r="M653" s="405"/>
      <c r="N653" s="405"/>
      <c r="O653" s="405"/>
      <c r="P653" s="405"/>
      <c r="Q653" s="405"/>
      <c r="R653" s="405"/>
      <c r="S653" s="405"/>
      <c r="T653" s="405"/>
      <c r="U653" s="405"/>
      <c r="V653" s="405"/>
      <c r="W653" s="405"/>
      <c r="X653" s="405"/>
      <c r="Y653" s="405"/>
      <c r="Z653" s="405"/>
      <c r="AA653" s="405"/>
      <c r="AB653" s="405"/>
      <c r="AC653" s="405"/>
      <c r="AD653" s="405"/>
      <c r="AE653" s="405"/>
      <c r="AF653" s="405"/>
      <c r="AG653" s="405"/>
      <c r="AH653" s="405"/>
      <c r="AI653" s="405"/>
      <c r="AJ653" s="405"/>
      <c r="AK653" s="405"/>
      <c r="AL653" s="405"/>
      <c r="AM653" s="405"/>
      <c r="AN653" s="377" t="s">
        <v>881</v>
      </c>
      <c r="AO653" s="378"/>
      <c r="AP653" s="378"/>
      <c r="AQ653" s="378"/>
      <c r="AR653" s="378"/>
      <c r="AS653" s="379"/>
      <c r="AW653" s="35"/>
      <c r="AX653" s="35"/>
    </row>
    <row r="654" spans="1:50" ht="14.25" customHeight="1" x14ac:dyDescent="0.25">
      <c r="C654" s="405" t="s">
        <v>797</v>
      </c>
      <c r="D654" s="405"/>
      <c r="E654" s="405"/>
      <c r="F654" s="405"/>
      <c r="G654" s="405"/>
      <c r="H654" s="405"/>
      <c r="I654" s="405"/>
      <c r="J654" s="405"/>
      <c r="K654" s="405"/>
      <c r="L654" s="405"/>
      <c r="M654" s="405"/>
      <c r="N654" s="405"/>
      <c r="O654" s="405"/>
      <c r="P654" s="405"/>
      <c r="Q654" s="405"/>
      <c r="R654" s="405"/>
      <c r="S654" s="405"/>
      <c r="T654" s="405"/>
      <c r="U654" s="405"/>
      <c r="V654" s="405"/>
      <c r="W654" s="405"/>
      <c r="X654" s="405"/>
      <c r="Y654" s="405"/>
      <c r="Z654" s="405"/>
      <c r="AA654" s="405"/>
      <c r="AB654" s="405"/>
      <c r="AC654" s="405"/>
      <c r="AD654" s="405"/>
      <c r="AE654" s="405"/>
      <c r="AF654" s="405"/>
      <c r="AG654" s="405"/>
      <c r="AH654" s="405"/>
      <c r="AI654" s="405"/>
      <c r="AJ654" s="405"/>
      <c r="AK654" s="405"/>
      <c r="AL654" s="405"/>
      <c r="AM654" s="405"/>
      <c r="AN654" s="377" t="s">
        <v>881</v>
      </c>
      <c r="AO654" s="378"/>
      <c r="AP654" s="378"/>
      <c r="AQ654" s="378"/>
      <c r="AR654" s="378"/>
      <c r="AS654" s="379"/>
      <c r="AW654" s="35"/>
      <c r="AX654" s="35"/>
    </row>
    <row r="655" spans="1:50" ht="14.25" customHeight="1" x14ac:dyDescent="0.25">
      <c r="C655" s="405" t="s">
        <v>798</v>
      </c>
      <c r="D655" s="405"/>
      <c r="E655" s="405"/>
      <c r="F655" s="405"/>
      <c r="G655" s="405"/>
      <c r="H655" s="405"/>
      <c r="I655" s="405"/>
      <c r="J655" s="405"/>
      <c r="K655" s="405"/>
      <c r="L655" s="405"/>
      <c r="M655" s="405"/>
      <c r="N655" s="405"/>
      <c r="O655" s="405"/>
      <c r="P655" s="405"/>
      <c r="Q655" s="405"/>
      <c r="R655" s="405"/>
      <c r="S655" s="405"/>
      <c r="T655" s="405"/>
      <c r="U655" s="405"/>
      <c r="V655" s="405"/>
      <c r="W655" s="405"/>
      <c r="X655" s="405"/>
      <c r="Y655" s="405"/>
      <c r="Z655" s="405"/>
      <c r="AA655" s="405"/>
      <c r="AB655" s="405"/>
      <c r="AC655" s="405"/>
      <c r="AD655" s="405"/>
      <c r="AE655" s="405"/>
      <c r="AF655" s="405"/>
      <c r="AG655" s="405"/>
      <c r="AH655" s="405"/>
      <c r="AI655" s="405"/>
      <c r="AJ655" s="405"/>
      <c r="AK655" s="405"/>
      <c r="AL655" s="405"/>
      <c r="AM655" s="405"/>
      <c r="AN655" s="377" t="s">
        <v>881</v>
      </c>
      <c r="AO655" s="378"/>
      <c r="AP655" s="378"/>
      <c r="AQ655" s="378"/>
      <c r="AR655" s="378"/>
      <c r="AS655" s="379"/>
      <c r="AW655" s="35"/>
      <c r="AX655" s="35"/>
    </row>
    <row r="656" spans="1:50" ht="14.25" customHeight="1" x14ac:dyDescent="0.25">
      <c r="C656" s="135"/>
      <c r="D656" s="135"/>
      <c r="E656" s="135"/>
      <c r="F656" s="135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W656" s="35"/>
      <c r="AX656" s="35"/>
    </row>
    <row r="657" spans="1:50" ht="14.25" customHeight="1" x14ac:dyDescent="0.25">
      <c r="A657" s="26"/>
      <c r="B657" s="26"/>
      <c r="C657" s="419" t="s">
        <v>864</v>
      </c>
      <c r="D657" s="419"/>
      <c r="E657" s="419"/>
      <c r="F657" s="419"/>
      <c r="G657" s="419"/>
      <c r="H657" s="419"/>
      <c r="I657" s="419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  <c r="AA657" s="419"/>
      <c r="AB657" s="419"/>
      <c r="AC657" s="419"/>
      <c r="AD657" s="419"/>
      <c r="AE657" s="419"/>
      <c r="AF657" s="419"/>
      <c r="AG657" s="419"/>
      <c r="AH657" s="419"/>
      <c r="AI657" s="419"/>
      <c r="AJ657" s="419"/>
      <c r="AK657" s="419"/>
      <c r="AL657" s="419"/>
      <c r="AM657" s="419"/>
      <c r="AN657" s="419"/>
      <c r="AO657" s="419"/>
      <c r="AP657" s="419"/>
      <c r="AQ657" s="419"/>
      <c r="AR657" s="419"/>
      <c r="AS657" s="419"/>
      <c r="AW657" s="35"/>
      <c r="AX657" s="35"/>
    </row>
    <row r="658" spans="1:50" ht="54.75" customHeight="1" x14ac:dyDescent="0.25">
      <c r="C658" s="420" t="s">
        <v>874</v>
      </c>
      <c r="D658" s="420"/>
      <c r="E658" s="420"/>
      <c r="F658" s="420"/>
      <c r="G658" s="420"/>
      <c r="H658" s="420"/>
      <c r="I658" s="420"/>
      <c r="J658" s="420"/>
      <c r="K658" s="420"/>
      <c r="L658" s="420"/>
      <c r="M658" s="420"/>
      <c r="N658" s="420"/>
      <c r="O658" s="420"/>
      <c r="P658" s="420"/>
      <c r="Q658" s="420"/>
      <c r="R658" s="420"/>
      <c r="S658" s="420"/>
      <c r="T658" s="420"/>
      <c r="U658" s="420"/>
      <c r="V658" s="420"/>
      <c r="W658" s="420"/>
      <c r="X658" s="420"/>
      <c r="Y658" s="420"/>
      <c r="Z658" s="420"/>
      <c r="AA658" s="420"/>
      <c r="AB658" s="420"/>
      <c r="AC658" s="420"/>
      <c r="AD658" s="420"/>
      <c r="AE658" s="420"/>
      <c r="AF658" s="420"/>
      <c r="AG658" s="420"/>
      <c r="AH658" s="420"/>
      <c r="AI658" s="420"/>
      <c r="AJ658" s="420"/>
      <c r="AK658" s="420"/>
      <c r="AL658" s="420"/>
      <c r="AM658" s="420"/>
      <c r="AN658" s="420"/>
      <c r="AO658" s="420"/>
      <c r="AP658" s="420"/>
      <c r="AQ658" s="420"/>
      <c r="AR658" s="420"/>
      <c r="AS658" s="420"/>
      <c r="AW658" s="35"/>
      <c r="AX658" s="35"/>
    </row>
    <row r="659" spans="1:50" ht="14.25" customHeight="1" x14ac:dyDescent="0.25">
      <c r="C659" s="414" t="s">
        <v>858</v>
      </c>
      <c r="D659" s="414"/>
      <c r="E659" s="414"/>
      <c r="F659" s="414"/>
      <c r="G659" s="414"/>
      <c r="H659" s="414"/>
      <c r="I659" s="414"/>
      <c r="J659" s="414"/>
      <c r="K659" s="414"/>
      <c r="L659" s="414"/>
      <c r="M659" s="414"/>
      <c r="N659" s="414"/>
      <c r="O659" s="414"/>
      <c r="P659" s="414"/>
      <c r="Q659" s="414"/>
      <c r="R659" s="414"/>
      <c r="S659" s="414"/>
      <c r="T659" s="414"/>
      <c r="U659" s="414"/>
      <c r="V659" s="414"/>
      <c r="W659" s="414"/>
      <c r="X659" s="414"/>
      <c r="Y659" s="414"/>
      <c r="Z659" s="414"/>
      <c r="AA659" s="414"/>
      <c r="AB659" s="414"/>
      <c r="AC659" s="414"/>
      <c r="AD659" s="414"/>
      <c r="AE659" s="414"/>
      <c r="AF659" s="414"/>
      <c r="AG659" s="414"/>
      <c r="AH659" s="414"/>
      <c r="AI659" s="414"/>
      <c r="AJ659" s="414"/>
      <c r="AK659" s="414"/>
      <c r="AL659" s="414"/>
      <c r="AM659" s="414"/>
      <c r="AN659" s="345" t="s">
        <v>907</v>
      </c>
      <c r="AO659" s="345"/>
      <c r="AP659" s="345"/>
      <c r="AQ659" s="345"/>
      <c r="AR659" s="345"/>
      <c r="AS659" s="345"/>
      <c r="AW659" s="35"/>
      <c r="AX659" s="35"/>
    </row>
    <row r="660" spans="1:50" ht="14.25" customHeight="1" x14ac:dyDescent="0.25">
      <c r="C660" s="405" t="s">
        <v>799</v>
      </c>
      <c r="D660" s="405"/>
      <c r="E660" s="405"/>
      <c r="F660" s="405"/>
      <c r="G660" s="405"/>
      <c r="H660" s="405"/>
      <c r="I660" s="405"/>
      <c r="J660" s="405"/>
      <c r="K660" s="405"/>
      <c r="L660" s="405"/>
      <c r="M660" s="405"/>
      <c r="N660" s="405"/>
      <c r="O660" s="405"/>
      <c r="P660" s="405"/>
      <c r="Q660" s="405"/>
      <c r="R660" s="405"/>
      <c r="S660" s="405"/>
      <c r="T660" s="405"/>
      <c r="U660" s="405"/>
      <c r="V660" s="405"/>
      <c r="W660" s="405"/>
      <c r="X660" s="405"/>
      <c r="Y660" s="405"/>
      <c r="Z660" s="405"/>
      <c r="AA660" s="405"/>
      <c r="AB660" s="405"/>
      <c r="AC660" s="405"/>
      <c r="AD660" s="405"/>
      <c r="AE660" s="405"/>
      <c r="AF660" s="405"/>
      <c r="AG660" s="405"/>
      <c r="AH660" s="405"/>
      <c r="AI660" s="405"/>
      <c r="AJ660" s="405"/>
      <c r="AK660" s="405"/>
      <c r="AL660" s="405"/>
      <c r="AM660" s="405"/>
      <c r="AN660" s="377" t="s">
        <v>881</v>
      </c>
      <c r="AO660" s="378"/>
      <c r="AP660" s="378"/>
      <c r="AQ660" s="378"/>
      <c r="AR660" s="378"/>
      <c r="AS660" s="379"/>
      <c r="AW660" s="35"/>
      <c r="AX660" s="35"/>
    </row>
    <row r="661" spans="1:50" ht="14.25" customHeight="1" x14ac:dyDescent="0.25">
      <c r="C661" s="405" t="s">
        <v>800</v>
      </c>
      <c r="D661" s="405"/>
      <c r="E661" s="405"/>
      <c r="F661" s="405"/>
      <c r="G661" s="405"/>
      <c r="H661" s="405"/>
      <c r="I661" s="405"/>
      <c r="J661" s="405"/>
      <c r="K661" s="405"/>
      <c r="L661" s="405"/>
      <c r="M661" s="405"/>
      <c r="N661" s="405"/>
      <c r="O661" s="405"/>
      <c r="P661" s="405"/>
      <c r="Q661" s="405"/>
      <c r="R661" s="405"/>
      <c r="S661" s="405"/>
      <c r="T661" s="405"/>
      <c r="U661" s="405"/>
      <c r="V661" s="405"/>
      <c r="W661" s="405"/>
      <c r="X661" s="405"/>
      <c r="Y661" s="405"/>
      <c r="Z661" s="405"/>
      <c r="AA661" s="405"/>
      <c r="AB661" s="405"/>
      <c r="AC661" s="405"/>
      <c r="AD661" s="405"/>
      <c r="AE661" s="405"/>
      <c r="AF661" s="405"/>
      <c r="AG661" s="405"/>
      <c r="AH661" s="405"/>
      <c r="AI661" s="405"/>
      <c r="AJ661" s="405"/>
      <c r="AK661" s="405"/>
      <c r="AL661" s="405"/>
      <c r="AM661" s="405"/>
      <c r="AN661" s="377" t="s">
        <v>881</v>
      </c>
      <c r="AO661" s="378"/>
      <c r="AP661" s="378"/>
      <c r="AQ661" s="378"/>
      <c r="AR661" s="378"/>
      <c r="AS661" s="379"/>
      <c r="AW661" s="35"/>
      <c r="AX661" s="35"/>
    </row>
    <row r="662" spans="1:50" ht="14.25" customHeight="1" x14ac:dyDescent="0.25">
      <c r="C662" s="405" t="s">
        <v>801</v>
      </c>
      <c r="D662" s="405"/>
      <c r="E662" s="405"/>
      <c r="F662" s="405"/>
      <c r="G662" s="405"/>
      <c r="H662" s="405"/>
      <c r="I662" s="405"/>
      <c r="J662" s="405"/>
      <c r="K662" s="405"/>
      <c r="L662" s="405"/>
      <c r="M662" s="405"/>
      <c r="N662" s="405"/>
      <c r="O662" s="405"/>
      <c r="P662" s="405"/>
      <c r="Q662" s="405"/>
      <c r="R662" s="405"/>
      <c r="S662" s="405"/>
      <c r="T662" s="405"/>
      <c r="U662" s="405"/>
      <c r="V662" s="405"/>
      <c r="W662" s="405"/>
      <c r="X662" s="405"/>
      <c r="Y662" s="405"/>
      <c r="Z662" s="405"/>
      <c r="AA662" s="405"/>
      <c r="AB662" s="405"/>
      <c r="AC662" s="405"/>
      <c r="AD662" s="405"/>
      <c r="AE662" s="405"/>
      <c r="AF662" s="405"/>
      <c r="AG662" s="405"/>
      <c r="AH662" s="405"/>
      <c r="AI662" s="405"/>
      <c r="AJ662" s="405"/>
      <c r="AK662" s="405"/>
      <c r="AL662" s="405"/>
      <c r="AM662" s="405"/>
      <c r="AN662" s="377" t="s">
        <v>881</v>
      </c>
      <c r="AO662" s="378"/>
      <c r="AP662" s="378"/>
      <c r="AQ662" s="378"/>
      <c r="AR662" s="378"/>
      <c r="AS662" s="379"/>
      <c r="AW662" s="35"/>
      <c r="AX662" s="35"/>
    </row>
    <row r="663" spans="1:50" ht="14.25" customHeight="1" x14ac:dyDescent="0.25">
      <c r="C663" s="405" t="s">
        <v>802</v>
      </c>
      <c r="D663" s="405"/>
      <c r="E663" s="405"/>
      <c r="F663" s="405"/>
      <c r="G663" s="405"/>
      <c r="H663" s="405"/>
      <c r="I663" s="405"/>
      <c r="J663" s="405"/>
      <c r="K663" s="405"/>
      <c r="L663" s="405"/>
      <c r="M663" s="405"/>
      <c r="N663" s="405"/>
      <c r="O663" s="405"/>
      <c r="P663" s="405"/>
      <c r="Q663" s="405"/>
      <c r="R663" s="405"/>
      <c r="S663" s="405"/>
      <c r="T663" s="405"/>
      <c r="U663" s="405"/>
      <c r="V663" s="405"/>
      <c r="W663" s="405"/>
      <c r="X663" s="405"/>
      <c r="Y663" s="405"/>
      <c r="Z663" s="405"/>
      <c r="AA663" s="405"/>
      <c r="AB663" s="405"/>
      <c r="AC663" s="405"/>
      <c r="AD663" s="405"/>
      <c r="AE663" s="405"/>
      <c r="AF663" s="405"/>
      <c r="AG663" s="405"/>
      <c r="AH663" s="405"/>
      <c r="AI663" s="405"/>
      <c r="AJ663" s="405"/>
      <c r="AK663" s="405"/>
      <c r="AL663" s="405"/>
      <c r="AM663" s="405"/>
      <c r="AN663" s="377" t="s">
        <v>881</v>
      </c>
      <c r="AO663" s="378"/>
      <c r="AP663" s="378"/>
      <c r="AQ663" s="378"/>
      <c r="AR663" s="378"/>
      <c r="AS663" s="379"/>
      <c r="AW663" s="35"/>
      <c r="AX663" s="35"/>
    </row>
    <row r="664" spans="1:50" ht="14.25" customHeight="1" x14ac:dyDescent="0.25">
      <c r="C664" s="405" t="s">
        <v>803</v>
      </c>
      <c r="D664" s="405"/>
      <c r="E664" s="405"/>
      <c r="F664" s="405"/>
      <c r="G664" s="405"/>
      <c r="H664" s="405"/>
      <c r="I664" s="405"/>
      <c r="J664" s="405"/>
      <c r="K664" s="405"/>
      <c r="L664" s="405"/>
      <c r="M664" s="405"/>
      <c r="N664" s="405"/>
      <c r="O664" s="405"/>
      <c r="P664" s="405"/>
      <c r="Q664" s="405"/>
      <c r="R664" s="405"/>
      <c r="S664" s="405"/>
      <c r="T664" s="405"/>
      <c r="U664" s="405"/>
      <c r="V664" s="405"/>
      <c r="W664" s="405"/>
      <c r="X664" s="405"/>
      <c r="Y664" s="405"/>
      <c r="Z664" s="405"/>
      <c r="AA664" s="405"/>
      <c r="AB664" s="405"/>
      <c r="AC664" s="405"/>
      <c r="AD664" s="405"/>
      <c r="AE664" s="405"/>
      <c r="AF664" s="405"/>
      <c r="AG664" s="405"/>
      <c r="AH664" s="405"/>
      <c r="AI664" s="405"/>
      <c r="AJ664" s="405"/>
      <c r="AK664" s="405"/>
      <c r="AL664" s="405"/>
      <c r="AM664" s="405"/>
      <c r="AN664" s="377" t="s">
        <v>881</v>
      </c>
      <c r="AO664" s="378"/>
      <c r="AP664" s="378"/>
      <c r="AQ664" s="378"/>
      <c r="AR664" s="378"/>
      <c r="AS664" s="379"/>
      <c r="AW664" s="35"/>
      <c r="AX664" s="35"/>
    </row>
    <row r="665" spans="1:50" ht="14.25" customHeight="1" x14ac:dyDescent="0.25">
      <c r="C665" s="405" t="s">
        <v>804</v>
      </c>
      <c r="D665" s="405"/>
      <c r="E665" s="405"/>
      <c r="F665" s="405"/>
      <c r="G665" s="405"/>
      <c r="H665" s="405"/>
      <c r="I665" s="405"/>
      <c r="J665" s="405"/>
      <c r="K665" s="405"/>
      <c r="L665" s="405"/>
      <c r="M665" s="405"/>
      <c r="N665" s="405"/>
      <c r="O665" s="405"/>
      <c r="P665" s="405"/>
      <c r="Q665" s="405"/>
      <c r="R665" s="405"/>
      <c r="S665" s="405"/>
      <c r="T665" s="405"/>
      <c r="U665" s="405"/>
      <c r="V665" s="405"/>
      <c r="W665" s="405"/>
      <c r="X665" s="405"/>
      <c r="Y665" s="405"/>
      <c r="Z665" s="405"/>
      <c r="AA665" s="405"/>
      <c r="AB665" s="405"/>
      <c r="AC665" s="405"/>
      <c r="AD665" s="405"/>
      <c r="AE665" s="405"/>
      <c r="AF665" s="405"/>
      <c r="AG665" s="405"/>
      <c r="AH665" s="405"/>
      <c r="AI665" s="405"/>
      <c r="AJ665" s="405"/>
      <c r="AK665" s="405"/>
      <c r="AL665" s="405"/>
      <c r="AM665" s="405"/>
      <c r="AN665" s="377" t="s">
        <v>881</v>
      </c>
      <c r="AO665" s="378"/>
      <c r="AP665" s="378"/>
      <c r="AQ665" s="378"/>
      <c r="AR665" s="378"/>
      <c r="AS665" s="379"/>
      <c r="AW665" s="35"/>
      <c r="AX665" s="35"/>
    </row>
    <row r="666" spans="1:50" ht="14.25" customHeight="1" x14ac:dyDescent="0.25">
      <c r="C666" s="405" t="s">
        <v>805</v>
      </c>
      <c r="D666" s="405"/>
      <c r="E666" s="405"/>
      <c r="F666" s="405"/>
      <c r="G666" s="405"/>
      <c r="H666" s="405"/>
      <c r="I666" s="405"/>
      <c r="J666" s="405"/>
      <c r="K666" s="405"/>
      <c r="L666" s="405"/>
      <c r="M666" s="405"/>
      <c r="N666" s="405"/>
      <c r="O666" s="405"/>
      <c r="P666" s="405"/>
      <c r="Q666" s="405"/>
      <c r="R666" s="405"/>
      <c r="S666" s="405"/>
      <c r="T666" s="405"/>
      <c r="U666" s="405"/>
      <c r="V666" s="405"/>
      <c r="W666" s="405"/>
      <c r="X666" s="405"/>
      <c r="Y666" s="405"/>
      <c r="Z666" s="405"/>
      <c r="AA666" s="405"/>
      <c r="AB666" s="405"/>
      <c r="AC666" s="405"/>
      <c r="AD666" s="405"/>
      <c r="AE666" s="405"/>
      <c r="AF666" s="405"/>
      <c r="AG666" s="405"/>
      <c r="AH666" s="405"/>
      <c r="AI666" s="405"/>
      <c r="AJ666" s="405"/>
      <c r="AK666" s="405"/>
      <c r="AL666" s="405"/>
      <c r="AM666" s="405"/>
      <c r="AN666" s="377" t="s">
        <v>881</v>
      </c>
      <c r="AO666" s="378"/>
      <c r="AP666" s="378"/>
      <c r="AQ666" s="378"/>
      <c r="AR666" s="378"/>
      <c r="AS666" s="379"/>
      <c r="AW666" s="35"/>
      <c r="AX666" s="35"/>
    </row>
    <row r="667" spans="1:50" ht="14.25" customHeight="1" x14ac:dyDescent="0.2">
      <c r="A667" s="30"/>
      <c r="B667" s="30"/>
      <c r="C667" s="414" t="s">
        <v>248</v>
      </c>
      <c r="D667" s="414"/>
      <c r="E667" s="414"/>
      <c r="F667" s="414"/>
      <c r="G667" s="414"/>
      <c r="H667" s="414"/>
      <c r="I667" s="414"/>
      <c r="J667" s="414"/>
      <c r="K667" s="414"/>
      <c r="L667" s="414"/>
      <c r="M667" s="414"/>
      <c r="N667" s="414"/>
      <c r="O667" s="414"/>
      <c r="P667" s="414"/>
      <c r="Q667" s="414"/>
      <c r="R667" s="414"/>
      <c r="S667" s="414"/>
      <c r="T667" s="414"/>
      <c r="U667" s="414"/>
      <c r="V667" s="414"/>
      <c r="W667" s="414"/>
      <c r="X667" s="414"/>
      <c r="Y667" s="414"/>
      <c r="Z667" s="414"/>
      <c r="AA667" s="414"/>
      <c r="AB667" s="414"/>
      <c r="AC667" s="414"/>
      <c r="AD667" s="414"/>
      <c r="AE667" s="414"/>
      <c r="AF667" s="414"/>
      <c r="AG667" s="414"/>
      <c r="AH667" s="414"/>
      <c r="AI667" s="414"/>
      <c r="AJ667" s="414"/>
      <c r="AK667" s="414"/>
      <c r="AL667" s="414"/>
      <c r="AM667" s="414"/>
      <c r="AN667" s="345" t="s">
        <v>907</v>
      </c>
      <c r="AO667" s="345"/>
      <c r="AP667" s="345"/>
      <c r="AQ667" s="345"/>
      <c r="AR667" s="345"/>
      <c r="AS667" s="345"/>
      <c r="AW667" s="35"/>
      <c r="AX667" s="35"/>
    </row>
    <row r="668" spans="1:50" ht="14.25" customHeight="1" x14ac:dyDescent="0.2">
      <c r="A668" s="30"/>
      <c r="B668" s="30"/>
      <c r="C668" s="405" t="s">
        <v>801</v>
      </c>
      <c r="D668" s="405"/>
      <c r="E668" s="405"/>
      <c r="F668" s="405"/>
      <c r="G668" s="405"/>
      <c r="H668" s="405"/>
      <c r="I668" s="405"/>
      <c r="J668" s="405"/>
      <c r="K668" s="405"/>
      <c r="L668" s="405"/>
      <c r="M668" s="405"/>
      <c r="N668" s="405"/>
      <c r="O668" s="405"/>
      <c r="P668" s="405"/>
      <c r="Q668" s="405"/>
      <c r="R668" s="405"/>
      <c r="S668" s="405"/>
      <c r="T668" s="405"/>
      <c r="U668" s="405"/>
      <c r="V668" s="405"/>
      <c r="W668" s="405"/>
      <c r="X668" s="405"/>
      <c r="Y668" s="405"/>
      <c r="Z668" s="405"/>
      <c r="AA668" s="405"/>
      <c r="AB668" s="405"/>
      <c r="AC668" s="405"/>
      <c r="AD668" s="405"/>
      <c r="AE668" s="405"/>
      <c r="AF668" s="405"/>
      <c r="AG668" s="405"/>
      <c r="AH668" s="405"/>
      <c r="AI668" s="405"/>
      <c r="AJ668" s="405"/>
      <c r="AK668" s="405"/>
      <c r="AL668" s="405"/>
      <c r="AM668" s="405"/>
      <c r="AN668" s="377" t="s">
        <v>881</v>
      </c>
      <c r="AO668" s="378"/>
      <c r="AP668" s="378"/>
      <c r="AQ668" s="378"/>
      <c r="AR668" s="378"/>
      <c r="AS668" s="379"/>
      <c r="AW668" s="35"/>
      <c r="AX668" s="35"/>
    </row>
    <row r="669" spans="1:50" ht="14.25" customHeight="1" x14ac:dyDescent="0.2">
      <c r="A669" s="30"/>
      <c r="B669" s="30"/>
      <c r="C669" s="405" t="s">
        <v>802</v>
      </c>
      <c r="D669" s="405"/>
      <c r="E669" s="405"/>
      <c r="F669" s="405"/>
      <c r="G669" s="405"/>
      <c r="H669" s="405"/>
      <c r="I669" s="405"/>
      <c r="J669" s="405"/>
      <c r="K669" s="405"/>
      <c r="L669" s="405"/>
      <c r="M669" s="405"/>
      <c r="N669" s="405"/>
      <c r="O669" s="405"/>
      <c r="P669" s="405"/>
      <c r="Q669" s="405"/>
      <c r="R669" s="405"/>
      <c r="S669" s="405"/>
      <c r="T669" s="405"/>
      <c r="U669" s="405"/>
      <c r="V669" s="405"/>
      <c r="W669" s="405"/>
      <c r="X669" s="405"/>
      <c r="Y669" s="405"/>
      <c r="Z669" s="405"/>
      <c r="AA669" s="405"/>
      <c r="AB669" s="405"/>
      <c r="AC669" s="405"/>
      <c r="AD669" s="405"/>
      <c r="AE669" s="405"/>
      <c r="AF669" s="405"/>
      <c r="AG669" s="405"/>
      <c r="AH669" s="405"/>
      <c r="AI669" s="405"/>
      <c r="AJ669" s="405"/>
      <c r="AK669" s="405"/>
      <c r="AL669" s="405"/>
      <c r="AM669" s="405"/>
      <c r="AN669" s="377" t="s">
        <v>881</v>
      </c>
      <c r="AO669" s="378"/>
      <c r="AP669" s="378"/>
      <c r="AQ669" s="378"/>
      <c r="AR669" s="378"/>
      <c r="AS669" s="379"/>
      <c r="AW669" s="35"/>
      <c r="AX669" s="35"/>
    </row>
    <row r="670" spans="1:50" ht="14.25" customHeight="1" x14ac:dyDescent="0.2">
      <c r="A670" s="30"/>
      <c r="B670" s="30"/>
      <c r="C670" s="405" t="s">
        <v>803</v>
      </c>
      <c r="D670" s="405"/>
      <c r="E670" s="405"/>
      <c r="F670" s="405"/>
      <c r="G670" s="405"/>
      <c r="H670" s="405"/>
      <c r="I670" s="405"/>
      <c r="J670" s="405"/>
      <c r="K670" s="405"/>
      <c r="L670" s="405"/>
      <c r="M670" s="405"/>
      <c r="N670" s="405"/>
      <c r="O670" s="405"/>
      <c r="P670" s="405"/>
      <c r="Q670" s="405"/>
      <c r="R670" s="405"/>
      <c r="S670" s="405"/>
      <c r="T670" s="405"/>
      <c r="U670" s="405"/>
      <c r="V670" s="405"/>
      <c r="W670" s="405"/>
      <c r="X670" s="405"/>
      <c r="Y670" s="405"/>
      <c r="Z670" s="405"/>
      <c r="AA670" s="405"/>
      <c r="AB670" s="405"/>
      <c r="AC670" s="405"/>
      <c r="AD670" s="405"/>
      <c r="AE670" s="405"/>
      <c r="AF670" s="405"/>
      <c r="AG670" s="405"/>
      <c r="AH670" s="405"/>
      <c r="AI670" s="405"/>
      <c r="AJ670" s="405"/>
      <c r="AK670" s="405"/>
      <c r="AL670" s="405"/>
      <c r="AM670" s="405"/>
      <c r="AN670" s="377" t="s">
        <v>881</v>
      </c>
      <c r="AO670" s="378"/>
      <c r="AP670" s="378"/>
      <c r="AQ670" s="378"/>
      <c r="AR670" s="378"/>
      <c r="AS670" s="379"/>
      <c r="AW670" s="35"/>
      <c r="AX670" s="35"/>
    </row>
    <row r="671" spans="1:50" ht="14.25" customHeight="1" x14ac:dyDescent="0.2">
      <c r="A671" s="30"/>
      <c r="B671" s="30"/>
      <c r="C671" s="405" t="s">
        <v>804</v>
      </c>
      <c r="D671" s="405"/>
      <c r="E671" s="405"/>
      <c r="F671" s="405"/>
      <c r="G671" s="405"/>
      <c r="H671" s="405"/>
      <c r="I671" s="405"/>
      <c r="J671" s="405"/>
      <c r="K671" s="405"/>
      <c r="L671" s="405"/>
      <c r="M671" s="405"/>
      <c r="N671" s="405"/>
      <c r="O671" s="405"/>
      <c r="P671" s="405"/>
      <c r="Q671" s="405"/>
      <c r="R671" s="405"/>
      <c r="S671" s="405"/>
      <c r="T671" s="405"/>
      <c r="U671" s="405"/>
      <c r="V671" s="405"/>
      <c r="W671" s="405"/>
      <c r="X671" s="405"/>
      <c r="Y671" s="405"/>
      <c r="Z671" s="405"/>
      <c r="AA671" s="405"/>
      <c r="AB671" s="405"/>
      <c r="AC671" s="405"/>
      <c r="AD671" s="405"/>
      <c r="AE671" s="405"/>
      <c r="AF671" s="405"/>
      <c r="AG671" s="405"/>
      <c r="AH671" s="405"/>
      <c r="AI671" s="405"/>
      <c r="AJ671" s="405"/>
      <c r="AK671" s="405"/>
      <c r="AL671" s="405"/>
      <c r="AM671" s="405"/>
      <c r="AN671" s="377" t="s">
        <v>881</v>
      </c>
      <c r="AO671" s="378"/>
      <c r="AP671" s="378"/>
      <c r="AQ671" s="378"/>
      <c r="AR671" s="378"/>
      <c r="AS671" s="379"/>
      <c r="AW671" s="35"/>
      <c r="AX671" s="35"/>
    </row>
    <row r="672" spans="1:50" ht="14.25" customHeight="1" x14ac:dyDescent="0.2">
      <c r="A672" s="30"/>
      <c r="B672" s="30"/>
      <c r="C672" s="405" t="s">
        <v>805</v>
      </c>
      <c r="D672" s="405"/>
      <c r="E672" s="405"/>
      <c r="F672" s="405"/>
      <c r="G672" s="405"/>
      <c r="H672" s="405"/>
      <c r="I672" s="405"/>
      <c r="J672" s="405"/>
      <c r="K672" s="405"/>
      <c r="L672" s="405"/>
      <c r="M672" s="405"/>
      <c r="N672" s="405"/>
      <c r="O672" s="405"/>
      <c r="P672" s="405"/>
      <c r="Q672" s="405"/>
      <c r="R672" s="405"/>
      <c r="S672" s="405"/>
      <c r="T672" s="405"/>
      <c r="U672" s="405"/>
      <c r="V672" s="405"/>
      <c r="W672" s="405"/>
      <c r="X672" s="405"/>
      <c r="Y672" s="405"/>
      <c r="Z672" s="405"/>
      <c r="AA672" s="405"/>
      <c r="AB672" s="405"/>
      <c r="AC672" s="405"/>
      <c r="AD672" s="405"/>
      <c r="AE672" s="405"/>
      <c r="AF672" s="405"/>
      <c r="AG672" s="405"/>
      <c r="AH672" s="405"/>
      <c r="AI672" s="405"/>
      <c r="AJ672" s="405"/>
      <c r="AK672" s="405"/>
      <c r="AL672" s="405"/>
      <c r="AM672" s="405"/>
      <c r="AN672" s="377" t="s">
        <v>881</v>
      </c>
      <c r="AO672" s="378"/>
      <c r="AP672" s="378"/>
      <c r="AQ672" s="378"/>
      <c r="AR672" s="378"/>
      <c r="AS672" s="379"/>
      <c r="AW672" s="35"/>
      <c r="AX672" s="35"/>
    </row>
    <row r="673" spans="1:50" ht="14.25" customHeight="1" x14ac:dyDescent="0.2">
      <c r="A673" s="30"/>
      <c r="B673" s="30"/>
      <c r="C673" s="405" t="s">
        <v>806</v>
      </c>
      <c r="D673" s="405"/>
      <c r="E673" s="405"/>
      <c r="F673" s="405"/>
      <c r="G673" s="405"/>
      <c r="H673" s="405"/>
      <c r="I673" s="405"/>
      <c r="J673" s="405"/>
      <c r="K673" s="405"/>
      <c r="L673" s="405"/>
      <c r="M673" s="405"/>
      <c r="N673" s="405"/>
      <c r="O673" s="405"/>
      <c r="P673" s="405"/>
      <c r="Q673" s="405"/>
      <c r="R673" s="405"/>
      <c r="S673" s="405"/>
      <c r="T673" s="405"/>
      <c r="U673" s="405"/>
      <c r="V673" s="405"/>
      <c r="W673" s="405"/>
      <c r="X673" s="405"/>
      <c r="Y673" s="405"/>
      <c r="Z673" s="405"/>
      <c r="AA673" s="405"/>
      <c r="AB673" s="405"/>
      <c r="AC673" s="405"/>
      <c r="AD673" s="405"/>
      <c r="AE673" s="405"/>
      <c r="AF673" s="405"/>
      <c r="AG673" s="405"/>
      <c r="AH673" s="405"/>
      <c r="AI673" s="405"/>
      <c r="AJ673" s="405"/>
      <c r="AK673" s="405"/>
      <c r="AL673" s="405"/>
      <c r="AM673" s="405"/>
      <c r="AN673" s="377" t="s">
        <v>881</v>
      </c>
      <c r="AO673" s="378"/>
      <c r="AP673" s="378"/>
      <c r="AQ673" s="378"/>
      <c r="AR673" s="378"/>
      <c r="AS673" s="379"/>
      <c r="AW673" s="35"/>
      <c r="AX673" s="35"/>
    </row>
    <row r="674" spans="1:50" ht="14.25" customHeight="1" x14ac:dyDescent="0.2">
      <c r="A674" s="30"/>
      <c r="B674" s="30"/>
      <c r="C674" s="414" t="s">
        <v>859</v>
      </c>
      <c r="D674" s="414"/>
      <c r="E674" s="414"/>
      <c r="F674" s="414"/>
      <c r="G674" s="414"/>
      <c r="H674" s="414"/>
      <c r="I674" s="414"/>
      <c r="J674" s="414"/>
      <c r="K674" s="414"/>
      <c r="L674" s="414"/>
      <c r="M674" s="414"/>
      <c r="N674" s="414"/>
      <c r="O674" s="414"/>
      <c r="P674" s="414"/>
      <c r="Q674" s="414"/>
      <c r="R674" s="414"/>
      <c r="S674" s="414"/>
      <c r="T674" s="414"/>
      <c r="U674" s="414"/>
      <c r="V674" s="414"/>
      <c r="W674" s="414"/>
      <c r="X674" s="414"/>
      <c r="Y674" s="414"/>
      <c r="Z674" s="414"/>
      <c r="AA674" s="414"/>
      <c r="AB674" s="414"/>
      <c r="AC674" s="414"/>
      <c r="AD674" s="414"/>
      <c r="AE674" s="414"/>
      <c r="AF674" s="414"/>
      <c r="AG674" s="414"/>
      <c r="AH674" s="411" t="s">
        <v>815</v>
      </c>
      <c r="AI674" s="412"/>
      <c r="AJ674" s="412"/>
      <c r="AK674" s="412"/>
      <c r="AL674" s="412"/>
      <c r="AM674" s="413"/>
      <c r="AN674" s="411" t="s">
        <v>816</v>
      </c>
      <c r="AO674" s="412"/>
      <c r="AP674" s="412"/>
      <c r="AQ674" s="412"/>
      <c r="AR674" s="412"/>
      <c r="AS674" s="413"/>
      <c r="AW674" s="35"/>
      <c r="AX674" s="35"/>
    </row>
    <row r="675" spans="1:50" ht="14.25" customHeight="1" x14ac:dyDescent="0.2">
      <c r="A675" s="30"/>
      <c r="B675" s="30"/>
      <c r="C675" s="405" t="s">
        <v>807</v>
      </c>
      <c r="D675" s="405"/>
      <c r="E675" s="405"/>
      <c r="F675" s="405"/>
      <c r="G675" s="405"/>
      <c r="H675" s="405"/>
      <c r="I675" s="405"/>
      <c r="J675" s="405"/>
      <c r="K675" s="405"/>
      <c r="L675" s="405"/>
      <c r="M675" s="405"/>
      <c r="N675" s="405"/>
      <c r="O675" s="405"/>
      <c r="P675" s="405"/>
      <c r="Q675" s="405"/>
      <c r="R675" s="405"/>
      <c r="S675" s="405"/>
      <c r="T675" s="405"/>
      <c r="U675" s="405"/>
      <c r="V675" s="405"/>
      <c r="W675" s="405"/>
      <c r="X675" s="405"/>
      <c r="Y675" s="405"/>
      <c r="Z675" s="405"/>
      <c r="AA675" s="405"/>
      <c r="AB675" s="405"/>
      <c r="AC675" s="405"/>
      <c r="AD675" s="405"/>
      <c r="AE675" s="405"/>
      <c r="AF675" s="405"/>
      <c r="AG675" s="405"/>
      <c r="AH675" s="377" t="s">
        <v>881</v>
      </c>
      <c r="AI675" s="378"/>
      <c r="AJ675" s="378"/>
      <c r="AK675" s="378"/>
      <c r="AL675" s="378"/>
      <c r="AM675" s="379"/>
      <c r="AN675" s="377" t="s">
        <v>881</v>
      </c>
      <c r="AO675" s="378"/>
      <c r="AP675" s="378"/>
      <c r="AQ675" s="378"/>
      <c r="AR675" s="378"/>
      <c r="AS675" s="379"/>
      <c r="AW675" s="35"/>
      <c r="AX675" s="35"/>
    </row>
    <row r="676" spans="1:50" ht="14.25" customHeight="1" x14ac:dyDescent="0.2">
      <c r="A676" s="30"/>
      <c r="B676" s="30"/>
      <c r="C676" s="405" t="s">
        <v>808</v>
      </c>
      <c r="D676" s="405"/>
      <c r="E676" s="405"/>
      <c r="F676" s="405"/>
      <c r="G676" s="405"/>
      <c r="H676" s="405"/>
      <c r="I676" s="405"/>
      <c r="J676" s="405"/>
      <c r="K676" s="405"/>
      <c r="L676" s="405"/>
      <c r="M676" s="405"/>
      <c r="N676" s="405"/>
      <c r="O676" s="405"/>
      <c r="P676" s="405"/>
      <c r="Q676" s="405"/>
      <c r="R676" s="405"/>
      <c r="S676" s="405"/>
      <c r="T676" s="405"/>
      <c r="U676" s="405"/>
      <c r="V676" s="405"/>
      <c r="W676" s="405"/>
      <c r="X676" s="405"/>
      <c r="Y676" s="405"/>
      <c r="Z676" s="405"/>
      <c r="AA676" s="405"/>
      <c r="AB676" s="405"/>
      <c r="AC676" s="405"/>
      <c r="AD676" s="405"/>
      <c r="AE676" s="405"/>
      <c r="AF676" s="405"/>
      <c r="AG676" s="405"/>
      <c r="AH676" s="377" t="s">
        <v>881</v>
      </c>
      <c r="AI676" s="378"/>
      <c r="AJ676" s="378"/>
      <c r="AK676" s="378"/>
      <c r="AL676" s="378"/>
      <c r="AM676" s="379"/>
      <c r="AN676" s="377" t="s">
        <v>881</v>
      </c>
      <c r="AO676" s="378"/>
      <c r="AP676" s="378"/>
      <c r="AQ676" s="378"/>
      <c r="AR676" s="378"/>
      <c r="AS676" s="379"/>
      <c r="AW676" s="35"/>
      <c r="AX676" s="35"/>
    </row>
    <row r="677" spans="1:50" ht="14.25" customHeight="1" x14ac:dyDescent="0.2">
      <c r="A677" s="30"/>
      <c r="B677" s="30"/>
      <c r="C677" s="405" t="s">
        <v>809</v>
      </c>
      <c r="D677" s="405"/>
      <c r="E677" s="405"/>
      <c r="F677" s="405"/>
      <c r="G677" s="405"/>
      <c r="H677" s="405"/>
      <c r="I677" s="405"/>
      <c r="J677" s="405"/>
      <c r="K677" s="405"/>
      <c r="L677" s="405"/>
      <c r="M677" s="405"/>
      <c r="N677" s="405"/>
      <c r="O677" s="405"/>
      <c r="P677" s="405"/>
      <c r="Q677" s="405"/>
      <c r="R677" s="405"/>
      <c r="S677" s="405"/>
      <c r="T677" s="405"/>
      <c r="U677" s="405"/>
      <c r="V677" s="405"/>
      <c r="W677" s="405"/>
      <c r="X677" s="405"/>
      <c r="Y677" s="405"/>
      <c r="Z677" s="405"/>
      <c r="AA677" s="405"/>
      <c r="AB677" s="405"/>
      <c r="AC677" s="405"/>
      <c r="AD677" s="405"/>
      <c r="AE677" s="405"/>
      <c r="AF677" s="405"/>
      <c r="AG677" s="405"/>
      <c r="AH677" s="377" t="s">
        <v>881</v>
      </c>
      <c r="AI677" s="378"/>
      <c r="AJ677" s="378"/>
      <c r="AK677" s="378"/>
      <c r="AL677" s="378"/>
      <c r="AM677" s="379"/>
      <c r="AN677" s="377" t="s">
        <v>881</v>
      </c>
      <c r="AO677" s="378"/>
      <c r="AP677" s="378"/>
      <c r="AQ677" s="378"/>
      <c r="AR677" s="378"/>
      <c r="AS677" s="379"/>
      <c r="AW677" s="35"/>
      <c r="AX677" s="35"/>
    </row>
    <row r="678" spans="1:50" ht="14.25" customHeight="1" x14ac:dyDescent="0.2">
      <c r="A678" s="30"/>
      <c r="B678" s="30"/>
      <c r="C678" s="405" t="s">
        <v>810</v>
      </c>
      <c r="D678" s="405"/>
      <c r="E678" s="405"/>
      <c r="F678" s="405"/>
      <c r="G678" s="405"/>
      <c r="H678" s="405"/>
      <c r="I678" s="405"/>
      <c r="J678" s="405"/>
      <c r="K678" s="405"/>
      <c r="L678" s="405"/>
      <c r="M678" s="405"/>
      <c r="N678" s="405"/>
      <c r="O678" s="405"/>
      <c r="P678" s="405"/>
      <c r="Q678" s="405"/>
      <c r="R678" s="405"/>
      <c r="S678" s="405"/>
      <c r="T678" s="405"/>
      <c r="U678" s="405"/>
      <c r="V678" s="405"/>
      <c r="W678" s="405"/>
      <c r="X678" s="405"/>
      <c r="Y678" s="405"/>
      <c r="Z678" s="405"/>
      <c r="AA678" s="405"/>
      <c r="AB678" s="405"/>
      <c r="AC678" s="405"/>
      <c r="AD678" s="405"/>
      <c r="AE678" s="405"/>
      <c r="AF678" s="405"/>
      <c r="AG678" s="405"/>
      <c r="AH678" s="377" t="s">
        <v>881</v>
      </c>
      <c r="AI678" s="378"/>
      <c r="AJ678" s="378"/>
      <c r="AK678" s="378"/>
      <c r="AL678" s="378"/>
      <c r="AM678" s="379"/>
      <c r="AN678" s="377" t="s">
        <v>881</v>
      </c>
      <c r="AO678" s="378"/>
      <c r="AP678" s="378"/>
      <c r="AQ678" s="378"/>
      <c r="AR678" s="378"/>
      <c r="AS678" s="379"/>
      <c r="AW678" s="35"/>
      <c r="AX678" s="35"/>
    </row>
    <row r="679" spans="1:50" ht="14.25" customHeight="1" x14ac:dyDescent="0.2">
      <c r="A679" s="30"/>
      <c r="B679" s="30"/>
      <c r="C679" s="405" t="s">
        <v>811</v>
      </c>
      <c r="D679" s="405"/>
      <c r="E679" s="405"/>
      <c r="F679" s="405"/>
      <c r="G679" s="405"/>
      <c r="H679" s="405"/>
      <c r="I679" s="405"/>
      <c r="J679" s="405"/>
      <c r="K679" s="405"/>
      <c r="L679" s="405"/>
      <c r="M679" s="405"/>
      <c r="N679" s="405"/>
      <c r="O679" s="405"/>
      <c r="P679" s="405"/>
      <c r="Q679" s="405"/>
      <c r="R679" s="405"/>
      <c r="S679" s="405"/>
      <c r="T679" s="405"/>
      <c r="U679" s="405"/>
      <c r="V679" s="405"/>
      <c r="W679" s="405"/>
      <c r="X679" s="405"/>
      <c r="Y679" s="405"/>
      <c r="Z679" s="405"/>
      <c r="AA679" s="405"/>
      <c r="AB679" s="405"/>
      <c r="AC679" s="405"/>
      <c r="AD679" s="405"/>
      <c r="AE679" s="405"/>
      <c r="AF679" s="405"/>
      <c r="AG679" s="405"/>
      <c r="AH679" s="377" t="s">
        <v>881</v>
      </c>
      <c r="AI679" s="378"/>
      <c r="AJ679" s="378"/>
      <c r="AK679" s="378"/>
      <c r="AL679" s="378"/>
      <c r="AM679" s="379"/>
      <c r="AN679" s="377" t="s">
        <v>881</v>
      </c>
      <c r="AO679" s="378"/>
      <c r="AP679" s="378"/>
      <c r="AQ679" s="378"/>
      <c r="AR679" s="378"/>
      <c r="AS679" s="379"/>
      <c r="AW679" s="35"/>
      <c r="AX679" s="35"/>
    </row>
    <row r="680" spans="1:50" ht="14.25" customHeight="1" x14ac:dyDescent="0.2">
      <c r="A680" s="30"/>
      <c r="B680" s="30"/>
      <c r="C680" s="405" t="s">
        <v>812</v>
      </c>
      <c r="D680" s="405"/>
      <c r="E680" s="405"/>
      <c r="F680" s="405"/>
      <c r="G680" s="405"/>
      <c r="H680" s="405"/>
      <c r="I680" s="405"/>
      <c r="J680" s="405"/>
      <c r="K680" s="405"/>
      <c r="L680" s="405"/>
      <c r="M680" s="405"/>
      <c r="N680" s="405"/>
      <c r="O680" s="405"/>
      <c r="P680" s="405"/>
      <c r="Q680" s="405"/>
      <c r="R680" s="405"/>
      <c r="S680" s="405"/>
      <c r="T680" s="405"/>
      <c r="U680" s="405"/>
      <c r="V680" s="405"/>
      <c r="W680" s="405"/>
      <c r="X680" s="405"/>
      <c r="Y680" s="405"/>
      <c r="Z680" s="405"/>
      <c r="AA680" s="405"/>
      <c r="AB680" s="405"/>
      <c r="AC680" s="405"/>
      <c r="AD680" s="405"/>
      <c r="AE680" s="405"/>
      <c r="AF680" s="405"/>
      <c r="AG680" s="405"/>
      <c r="AH680" s="377" t="s">
        <v>881</v>
      </c>
      <c r="AI680" s="378"/>
      <c r="AJ680" s="378"/>
      <c r="AK680" s="378"/>
      <c r="AL680" s="378"/>
      <c r="AM680" s="379"/>
      <c r="AN680" s="377" t="s">
        <v>881</v>
      </c>
      <c r="AO680" s="378"/>
      <c r="AP680" s="378"/>
      <c r="AQ680" s="378"/>
      <c r="AR680" s="378"/>
      <c r="AS680" s="379"/>
      <c r="AW680" s="35"/>
      <c r="AX680" s="35"/>
    </row>
    <row r="681" spans="1:50" ht="14.25" customHeight="1" x14ac:dyDescent="0.2">
      <c r="A681" s="30"/>
      <c r="B681" s="30"/>
      <c r="C681" s="405" t="s">
        <v>813</v>
      </c>
      <c r="D681" s="405"/>
      <c r="E681" s="405"/>
      <c r="F681" s="405"/>
      <c r="G681" s="405"/>
      <c r="H681" s="405"/>
      <c r="I681" s="405"/>
      <c r="J681" s="405"/>
      <c r="K681" s="405"/>
      <c r="L681" s="405"/>
      <c r="M681" s="405"/>
      <c r="N681" s="405"/>
      <c r="O681" s="405"/>
      <c r="P681" s="405"/>
      <c r="Q681" s="405"/>
      <c r="R681" s="405"/>
      <c r="S681" s="405"/>
      <c r="T681" s="405"/>
      <c r="U681" s="405"/>
      <c r="V681" s="405"/>
      <c r="W681" s="405"/>
      <c r="X681" s="405"/>
      <c r="Y681" s="405"/>
      <c r="Z681" s="405"/>
      <c r="AA681" s="405"/>
      <c r="AB681" s="405"/>
      <c r="AC681" s="405"/>
      <c r="AD681" s="405"/>
      <c r="AE681" s="405"/>
      <c r="AF681" s="405"/>
      <c r="AG681" s="405"/>
      <c r="AH681" s="377" t="s">
        <v>881</v>
      </c>
      <c r="AI681" s="378"/>
      <c r="AJ681" s="378"/>
      <c r="AK681" s="378"/>
      <c r="AL681" s="378"/>
      <c r="AM681" s="379"/>
      <c r="AN681" s="377" t="s">
        <v>881</v>
      </c>
      <c r="AO681" s="378"/>
      <c r="AP681" s="378"/>
      <c r="AQ681" s="378"/>
      <c r="AR681" s="378"/>
      <c r="AS681" s="379"/>
      <c r="AW681" s="35"/>
      <c r="AX681" s="35"/>
    </row>
    <row r="682" spans="1:50" ht="14.25" customHeight="1" x14ac:dyDescent="0.2">
      <c r="A682" s="30"/>
      <c r="B682" s="30"/>
      <c r="C682" s="405" t="s">
        <v>814</v>
      </c>
      <c r="D682" s="405"/>
      <c r="E682" s="405"/>
      <c r="F682" s="405"/>
      <c r="G682" s="405"/>
      <c r="H682" s="405"/>
      <c r="I682" s="405"/>
      <c r="J682" s="405"/>
      <c r="K682" s="405"/>
      <c r="L682" s="405"/>
      <c r="M682" s="405"/>
      <c r="N682" s="405"/>
      <c r="O682" s="405"/>
      <c r="P682" s="405"/>
      <c r="Q682" s="405"/>
      <c r="R682" s="405"/>
      <c r="S682" s="405"/>
      <c r="T682" s="405"/>
      <c r="U682" s="405"/>
      <c r="V682" s="405"/>
      <c r="W682" s="405"/>
      <c r="X682" s="405"/>
      <c r="Y682" s="405"/>
      <c r="Z682" s="405"/>
      <c r="AA682" s="405"/>
      <c r="AB682" s="405"/>
      <c r="AC682" s="405"/>
      <c r="AD682" s="405"/>
      <c r="AE682" s="405"/>
      <c r="AF682" s="405"/>
      <c r="AG682" s="405"/>
      <c r="AH682" s="377" t="s">
        <v>881</v>
      </c>
      <c r="AI682" s="378"/>
      <c r="AJ682" s="378"/>
      <c r="AK682" s="378"/>
      <c r="AL682" s="378"/>
      <c r="AM682" s="379"/>
      <c r="AN682" s="377" t="s">
        <v>881</v>
      </c>
      <c r="AO682" s="378"/>
      <c r="AP682" s="378"/>
      <c r="AQ682" s="378"/>
      <c r="AR682" s="378"/>
      <c r="AS682" s="379"/>
      <c r="AW682" s="35"/>
      <c r="AX682" s="35"/>
    </row>
    <row r="683" spans="1:50" ht="14.25" customHeight="1" x14ac:dyDescent="0.2">
      <c r="A683" s="30"/>
      <c r="B683" s="30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W683" s="35"/>
      <c r="AX683" s="35"/>
    </row>
    <row r="684" spans="1:50" ht="11.25" customHeight="1" x14ac:dyDescent="0.2">
      <c r="A684" s="30"/>
      <c r="B684" s="30"/>
      <c r="C684" s="135"/>
      <c r="D684" s="135"/>
      <c r="E684" s="135"/>
      <c r="F684" s="135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W684" s="35"/>
      <c r="AX684" s="35"/>
    </row>
    <row r="685" spans="1:50" ht="14.25" customHeight="1" x14ac:dyDescent="0.2">
      <c r="A685" s="30"/>
      <c r="B685" s="30"/>
      <c r="C685" s="407" t="s">
        <v>856</v>
      </c>
      <c r="D685" s="407"/>
      <c r="E685" s="407"/>
      <c r="F685" s="407"/>
      <c r="G685" s="407"/>
      <c r="H685" s="407"/>
      <c r="I685" s="407"/>
      <c r="J685" s="407"/>
      <c r="K685" s="407"/>
      <c r="L685" s="407"/>
      <c r="M685" s="407"/>
      <c r="N685" s="407"/>
      <c r="O685" s="407"/>
      <c r="P685" s="407"/>
      <c r="Q685" s="407"/>
      <c r="R685" s="407"/>
      <c r="S685" s="407"/>
      <c r="T685" s="407"/>
      <c r="U685" s="407"/>
      <c r="V685" s="407"/>
      <c r="W685" s="407"/>
      <c r="X685" s="407"/>
      <c r="Y685" s="407"/>
      <c r="Z685" s="407"/>
      <c r="AA685" s="407"/>
      <c r="AB685" s="407"/>
      <c r="AC685" s="407"/>
      <c r="AD685" s="407"/>
      <c r="AE685" s="407"/>
      <c r="AF685" s="407"/>
      <c r="AG685" s="407"/>
      <c r="AH685" s="407"/>
      <c r="AI685" s="407"/>
      <c r="AJ685" s="407"/>
      <c r="AK685" s="407"/>
      <c r="AL685" s="407"/>
      <c r="AM685" s="407"/>
      <c r="AN685" s="407"/>
      <c r="AO685" s="407"/>
      <c r="AP685" s="407"/>
      <c r="AQ685" s="407"/>
      <c r="AR685" s="407"/>
      <c r="AS685" s="407"/>
      <c r="AW685" s="35"/>
      <c r="AX685" s="35"/>
    </row>
    <row r="686" spans="1:50" ht="42.75" customHeight="1" x14ac:dyDescent="0.2">
      <c r="A686" s="30"/>
      <c r="B686" s="30"/>
      <c r="C686" s="408"/>
      <c r="D686" s="408"/>
      <c r="E686" s="408"/>
      <c r="F686" s="408"/>
      <c r="G686" s="408"/>
      <c r="H686" s="408"/>
      <c r="I686" s="408"/>
      <c r="J686" s="408"/>
      <c r="K686" s="408"/>
      <c r="L686" s="408"/>
      <c r="M686" s="408"/>
      <c r="N686" s="408"/>
      <c r="O686" s="408"/>
      <c r="P686" s="408"/>
      <c r="Q686" s="408"/>
      <c r="R686" s="408"/>
      <c r="S686" s="408"/>
      <c r="T686" s="408"/>
      <c r="U686" s="408"/>
      <c r="V686" s="408"/>
      <c r="W686" s="408"/>
      <c r="X686" s="408"/>
      <c r="Y686" s="409"/>
      <c r="Z686" s="409"/>
      <c r="AA686" s="409"/>
      <c r="AB686" s="409"/>
      <c r="AC686" s="409"/>
      <c r="AD686" s="409"/>
      <c r="AE686" s="409"/>
      <c r="AF686" s="409"/>
      <c r="AG686" s="409"/>
      <c r="AH686" s="409"/>
      <c r="AI686" s="409"/>
      <c r="AJ686" s="409"/>
      <c r="AK686" s="409"/>
      <c r="AL686" s="409"/>
      <c r="AM686" s="409"/>
      <c r="AN686" s="409"/>
      <c r="AO686" s="409"/>
      <c r="AP686" s="409"/>
      <c r="AQ686" s="409"/>
      <c r="AR686" s="409"/>
      <c r="AS686" s="409"/>
      <c r="AW686" s="35"/>
      <c r="AX686" s="35"/>
    </row>
    <row r="687" spans="1:50" ht="13.5" customHeight="1" x14ac:dyDescent="0.2">
      <c r="A687" s="30"/>
      <c r="B687" s="30"/>
      <c r="C687" s="410" t="s">
        <v>828</v>
      </c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345" t="s">
        <v>907</v>
      </c>
      <c r="T687" s="345"/>
      <c r="U687" s="345"/>
      <c r="V687" s="345"/>
      <c r="W687" s="345"/>
      <c r="X687" s="345"/>
      <c r="Y687" s="410" t="s">
        <v>827</v>
      </c>
      <c r="Z687" s="410"/>
      <c r="AA687" s="410"/>
      <c r="AB687" s="410"/>
      <c r="AC687" s="410"/>
      <c r="AD687" s="410"/>
      <c r="AE687" s="410"/>
      <c r="AF687" s="410"/>
      <c r="AG687" s="410"/>
      <c r="AH687" s="410"/>
      <c r="AI687" s="410"/>
      <c r="AJ687" s="410"/>
      <c r="AK687" s="410"/>
      <c r="AL687" s="410"/>
      <c r="AM687" s="410"/>
      <c r="AN687" s="345" t="s">
        <v>907</v>
      </c>
      <c r="AO687" s="345"/>
      <c r="AP687" s="345"/>
      <c r="AQ687" s="345"/>
      <c r="AR687" s="345"/>
      <c r="AS687" s="345"/>
      <c r="AW687" s="35"/>
      <c r="AX687" s="35"/>
    </row>
    <row r="688" spans="1:50" ht="13.5" customHeight="1" x14ac:dyDescent="0.2">
      <c r="A688" s="30"/>
      <c r="B688" s="30"/>
      <c r="C688" s="405" t="s">
        <v>817</v>
      </c>
      <c r="D688" s="405"/>
      <c r="E688" s="405"/>
      <c r="F688" s="405"/>
      <c r="G688" s="405"/>
      <c r="H688" s="405"/>
      <c r="I688" s="405"/>
      <c r="J688" s="405"/>
      <c r="K688" s="405"/>
      <c r="L688" s="405"/>
      <c r="M688" s="405"/>
      <c r="N688" s="405"/>
      <c r="O688" s="405"/>
      <c r="P688" s="405"/>
      <c r="Q688" s="405"/>
      <c r="R688" s="405"/>
      <c r="S688" s="377" t="s">
        <v>881</v>
      </c>
      <c r="T688" s="378"/>
      <c r="U688" s="378"/>
      <c r="V688" s="378"/>
      <c r="W688" s="378"/>
      <c r="X688" s="379"/>
      <c r="Y688" s="405" t="s">
        <v>817</v>
      </c>
      <c r="Z688" s="405"/>
      <c r="AA688" s="405"/>
      <c r="AB688" s="405"/>
      <c r="AC688" s="405"/>
      <c r="AD688" s="405"/>
      <c r="AE688" s="405"/>
      <c r="AF688" s="405"/>
      <c r="AG688" s="405"/>
      <c r="AH688" s="405"/>
      <c r="AI688" s="405"/>
      <c r="AJ688" s="405"/>
      <c r="AK688" s="405"/>
      <c r="AL688" s="405"/>
      <c r="AM688" s="405"/>
      <c r="AN688" s="377" t="s">
        <v>881</v>
      </c>
      <c r="AO688" s="378"/>
      <c r="AP688" s="378"/>
      <c r="AQ688" s="378"/>
      <c r="AR688" s="378"/>
      <c r="AS688" s="379"/>
      <c r="AW688" s="35"/>
      <c r="AX688" s="35"/>
    </row>
    <row r="689" spans="1:50" ht="13.5" customHeight="1" x14ac:dyDescent="0.2">
      <c r="A689" s="30"/>
      <c r="B689" s="30"/>
      <c r="C689" s="405" t="s">
        <v>818</v>
      </c>
      <c r="D689" s="405"/>
      <c r="E689" s="405"/>
      <c r="F689" s="405"/>
      <c r="G689" s="405"/>
      <c r="H689" s="405"/>
      <c r="I689" s="405"/>
      <c r="J689" s="405"/>
      <c r="K689" s="405"/>
      <c r="L689" s="405"/>
      <c r="M689" s="405"/>
      <c r="N689" s="405"/>
      <c r="O689" s="405"/>
      <c r="P689" s="405"/>
      <c r="Q689" s="405"/>
      <c r="R689" s="405"/>
      <c r="S689" s="377" t="s">
        <v>881</v>
      </c>
      <c r="T689" s="378"/>
      <c r="U689" s="378"/>
      <c r="V689" s="378"/>
      <c r="W689" s="378"/>
      <c r="X689" s="379"/>
      <c r="Y689" s="405" t="s">
        <v>818</v>
      </c>
      <c r="Z689" s="405"/>
      <c r="AA689" s="405"/>
      <c r="AB689" s="405"/>
      <c r="AC689" s="405"/>
      <c r="AD689" s="405"/>
      <c r="AE689" s="405"/>
      <c r="AF689" s="405"/>
      <c r="AG689" s="405"/>
      <c r="AH689" s="405"/>
      <c r="AI689" s="405"/>
      <c r="AJ689" s="405"/>
      <c r="AK689" s="405"/>
      <c r="AL689" s="405"/>
      <c r="AM689" s="405"/>
      <c r="AN689" s="377" t="s">
        <v>881</v>
      </c>
      <c r="AO689" s="378"/>
      <c r="AP689" s="378"/>
      <c r="AQ689" s="378"/>
      <c r="AR689" s="378"/>
      <c r="AS689" s="379"/>
      <c r="AW689" s="35"/>
      <c r="AX689" s="35"/>
    </row>
    <row r="690" spans="1:50" ht="13.5" customHeight="1" x14ac:dyDescent="0.2">
      <c r="A690" s="30"/>
      <c r="B690" s="30"/>
      <c r="C690" s="405" t="s">
        <v>819</v>
      </c>
      <c r="D690" s="405"/>
      <c r="E690" s="405"/>
      <c r="F690" s="405"/>
      <c r="G690" s="405"/>
      <c r="H690" s="405"/>
      <c r="I690" s="405"/>
      <c r="J690" s="405"/>
      <c r="K690" s="405"/>
      <c r="L690" s="405"/>
      <c r="M690" s="405"/>
      <c r="N690" s="405"/>
      <c r="O690" s="405"/>
      <c r="P690" s="405"/>
      <c r="Q690" s="405"/>
      <c r="R690" s="405"/>
      <c r="S690" s="377" t="s">
        <v>881</v>
      </c>
      <c r="T690" s="378"/>
      <c r="U690" s="378"/>
      <c r="V690" s="378"/>
      <c r="W690" s="378"/>
      <c r="X690" s="379"/>
      <c r="Y690" s="405" t="s">
        <v>819</v>
      </c>
      <c r="Z690" s="405"/>
      <c r="AA690" s="405"/>
      <c r="AB690" s="405"/>
      <c r="AC690" s="405"/>
      <c r="AD690" s="405"/>
      <c r="AE690" s="405"/>
      <c r="AF690" s="405"/>
      <c r="AG690" s="405"/>
      <c r="AH690" s="405"/>
      <c r="AI690" s="405"/>
      <c r="AJ690" s="405"/>
      <c r="AK690" s="405"/>
      <c r="AL690" s="405"/>
      <c r="AM690" s="405"/>
      <c r="AN690" s="377" t="s">
        <v>881</v>
      </c>
      <c r="AO690" s="378"/>
      <c r="AP690" s="378"/>
      <c r="AQ690" s="378"/>
      <c r="AR690" s="378"/>
      <c r="AS690" s="379"/>
      <c r="AW690" s="35"/>
      <c r="AX690" s="35"/>
    </row>
    <row r="691" spans="1:50" ht="13.5" customHeight="1" x14ac:dyDescent="0.2">
      <c r="A691" s="30"/>
      <c r="B691" s="30"/>
      <c r="C691" s="405" t="s">
        <v>820</v>
      </c>
      <c r="D691" s="405"/>
      <c r="E691" s="405"/>
      <c r="F691" s="405"/>
      <c r="G691" s="405"/>
      <c r="H691" s="405"/>
      <c r="I691" s="405"/>
      <c r="J691" s="405"/>
      <c r="K691" s="405"/>
      <c r="L691" s="405"/>
      <c r="M691" s="405"/>
      <c r="N691" s="405"/>
      <c r="O691" s="405"/>
      <c r="P691" s="405"/>
      <c r="Q691" s="405"/>
      <c r="R691" s="405"/>
      <c r="S691" s="377" t="s">
        <v>881</v>
      </c>
      <c r="T691" s="378"/>
      <c r="U691" s="378"/>
      <c r="V691" s="378"/>
      <c r="W691" s="378"/>
      <c r="X691" s="379"/>
      <c r="Y691" s="405" t="s">
        <v>820</v>
      </c>
      <c r="Z691" s="405"/>
      <c r="AA691" s="405"/>
      <c r="AB691" s="405"/>
      <c r="AC691" s="405"/>
      <c r="AD691" s="405"/>
      <c r="AE691" s="405"/>
      <c r="AF691" s="405"/>
      <c r="AG691" s="405"/>
      <c r="AH691" s="405"/>
      <c r="AI691" s="405"/>
      <c r="AJ691" s="405"/>
      <c r="AK691" s="405"/>
      <c r="AL691" s="405"/>
      <c r="AM691" s="405"/>
      <c r="AN691" s="377" t="s">
        <v>881</v>
      </c>
      <c r="AO691" s="378"/>
      <c r="AP691" s="378"/>
      <c r="AQ691" s="378"/>
      <c r="AR691" s="378"/>
      <c r="AS691" s="379"/>
      <c r="AW691" s="35"/>
      <c r="AX691" s="35"/>
    </row>
    <row r="692" spans="1:50" ht="13.5" customHeight="1" x14ac:dyDescent="0.2">
      <c r="A692" s="30"/>
      <c r="B692" s="30"/>
      <c r="C692" s="405" t="s">
        <v>821</v>
      </c>
      <c r="D692" s="405"/>
      <c r="E692" s="405"/>
      <c r="F692" s="405"/>
      <c r="G692" s="405"/>
      <c r="H692" s="405"/>
      <c r="I692" s="405"/>
      <c r="J692" s="405"/>
      <c r="K692" s="405"/>
      <c r="L692" s="405"/>
      <c r="M692" s="405"/>
      <c r="N692" s="405"/>
      <c r="O692" s="405"/>
      <c r="P692" s="405"/>
      <c r="Q692" s="405"/>
      <c r="R692" s="405"/>
      <c r="S692" s="377" t="s">
        <v>881</v>
      </c>
      <c r="T692" s="378"/>
      <c r="U692" s="378"/>
      <c r="V692" s="378"/>
      <c r="W692" s="378"/>
      <c r="X692" s="379"/>
      <c r="Y692" s="405" t="s">
        <v>821</v>
      </c>
      <c r="Z692" s="405"/>
      <c r="AA692" s="405"/>
      <c r="AB692" s="405"/>
      <c r="AC692" s="405"/>
      <c r="AD692" s="405"/>
      <c r="AE692" s="405"/>
      <c r="AF692" s="405"/>
      <c r="AG692" s="405"/>
      <c r="AH692" s="405"/>
      <c r="AI692" s="405"/>
      <c r="AJ692" s="405"/>
      <c r="AK692" s="405"/>
      <c r="AL692" s="405"/>
      <c r="AM692" s="405"/>
      <c r="AN692" s="377" t="s">
        <v>881</v>
      </c>
      <c r="AO692" s="378"/>
      <c r="AP692" s="378"/>
      <c r="AQ692" s="378"/>
      <c r="AR692" s="378"/>
      <c r="AS692" s="379"/>
      <c r="AW692" s="35"/>
      <c r="AX692" s="35"/>
    </row>
    <row r="693" spans="1:50" ht="13.5" customHeight="1" x14ac:dyDescent="0.2">
      <c r="A693" s="30"/>
      <c r="B693" s="30"/>
      <c r="C693" s="405" t="s">
        <v>822</v>
      </c>
      <c r="D693" s="405"/>
      <c r="E693" s="405"/>
      <c r="F693" s="405"/>
      <c r="G693" s="405"/>
      <c r="H693" s="405"/>
      <c r="I693" s="405"/>
      <c r="J693" s="405"/>
      <c r="K693" s="405"/>
      <c r="L693" s="405"/>
      <c r="M693" s="405"/>
      <c r="N693" s="405"/>
      <c r="O693" s="405"/>
      <c r="P693" s="405"/>
      <c r="Q693" s="405"/>
      <c r="R693" s="405"/>
      <c r="S693" s="377" t="s">
        <v>881</v>
      </c>
      <c r="T693" s="378"/>
      <c r="U693" s="378"/>
      <c r="V693" s="378"/>
      <c r="W693" s="378"/>
      <c r="X693" s="379"/>
      <c r="Y693" s="405" t="s">
        <v>822</v>
      </c>
      <c r="Z693" s="405"/>
      <c r="AA693" s="405"/>
      <c r="AB693" s="405"/>
      <c r="AC693" s="405"/>
      <c r="AD693" s="405"/>
      <c r="AE693" s="405"/>
      <c r="AF693" s="405"/>
      <c r="AG693" s="405"/>
      <c r="AH693" s="405"/>
      <c r="AI693" s="405"/>
      <c r="AJ693" s="405"/>
      <c r="AK693" s="405"/>
      <c r="AL693" s="405"/>
      <c r="AM693" s="405"/>
      <c r="AN693" s="377" t="s">
        <v>881</v>
      </c>
      <c r="AO693" s="378"/>
      <c r="AP693" s="378"/>
      <c r="AQ693" s="378"/>
      <c r="AR693" s="378"/>
      <c r="AS693" s="379"/>
      <c r="AW693" s="35"/>
      <c r="AX693" s="35"/>
    </row>
    <row r="694" spans="1:50" ht="13.5" customHeight="1" x14ac:dyDescent="0.2">
      <c r="A694" s="30"/>
      <c r="B694" s="30"/>
      <c r="C694" s="405" t="s">
        <v>823</v>
      </c>
      <c r="D694" s="405"/>
      <c r="E694" s="405"/>
      <c r="F694" s="405"/>
      <c r="G694" s="405"/>
      <c r="H694" s="405"/>
      <c r="I694" s="405"/>
      <c r="J694" s="405"/>
      <c r="K694" s="405"/>
      <c r="L694" s="405"/>
      <c r="M694" s="405"/>
      <c r="N694" s="405"/>
      <c r="O694" s="405"/>
      <c r="P694" s="405"/>
      <c r="Q694" s="405"/>
      <c r="R694" s="405"/>
      <c r="S694" s="377" t="s">
        <v>881</v>
      </c>
      <c r="T694" s="378"/>
      <c r="U694" s="378"/>
      <c r="V694" s="378"/>
      <c r="W694" s="378"/>
      <c r="X694" s="379"/>
      <c r="Y694" s="405" t="s">
        <v>823</v>
      </c>
      <c r="Z694" s="405"/>
      <c r="AA694" s="405"/>
      <c r="AB694" s="405"/>
      <c r="AC694" s="405"/>
      <c r="AD694" s="405"/>
      <c r="AE694" s="405"/>
      <c r="AF694" s="405"/>
      <c r="AG694" s="405"/>
      <c r="AH694" s="405"/>
      <c r="AI694" s="405"/>
      <c r="AJ694" s="405"/>
      <c r="AK694" s="405"/>
      <c r="AL694" s="405"/>
      <c r="AM694" s="405"/>
      <c r="AN694" s="377" t="s">
        <v>881</v>
      </c>
      <c r="AO694" s="378"/>
      <c r="AP694" s="378"/>
      <c r="AQ694" s="378"/>
      <c r="AR694" s="378"/>
      <c r="AS694" s="379"/>
      <c r="AW694" s="35"/>
      <c r="AX694" s="35"/>
    </row>
    <row r="695" spans="1:50" ht="13.5" customHeight="1" x14ac:dyDescent="0.2">
      <c r="A695" s="30"/>
      <c r="B695" s="30"/>
      <c r="C695" s="405" t="s">
        <v>824</v>
      </c>
      <c r="D695" s="405"/>
      <c r="E695" s="405"/>
      <c r="F695" s="405"/>
      <c r="G695" s="405"/>
      <c r="H695" s="405"/>
      <c r="I695" s="405"/>
      <c r="J695" s="405"/>
      <c r="K695" s="405"/>
      <c r="L695" s="405"/>
      <c r="M695" s="405"/>
      <c r="N695" s="405"/>
      <c r="O695" s="405"/>
      <c r="P695" s="405"/>
      <c r="Q695" s="405"/>
      <c r="R695" s="405"/>
      <c r="S695" s="377" t="s">
        <v>881</v>
      </c>
      <c r="T695" s="378"/>
      <c r="U695" s="378"/>
      <c r="V695" s="378"/>
      <c r="W695" s="378"/>
      <c r="X695" s="379"/>
      <c r="Y695" s="405" t="s">
        <v>824</v>
      </c>
      <c r="Z695" s="405"/>
      <c r="AA695" s="405"/>
      <c r="AB695" s="405"/>
      <c r="AC695" s="405"/>
      <c r="AD695" s="405"/>
      <c r="AE695" s="405"/>
      <c r="AF695" s="405"/>
      <c r="AG695" s="405"/>
      <c r="AH695" s="405"/>
      <c r="AI695" s="405"/>
      <c r="AJ695" s="405"/>
      <c r="AK695" s="405"/>
      <c r="AL695" s="405"/>
      <c r="AM695" s="405"/>
      <c r="AN695" s="377" t="s">
        <v>881</v>
      </c>
      <c r="AO695" s="378"/>
      <c r="AP695" s="378"/>
      <c r="AQ695" s="378"/>
      <c r="AR695" s="378"/>
      <c r="AS695" s="379"/>
      <c r="AW695" s="35"/>
      <c r="AX695" s="35"/>
    </row>
    <row r="696" spans="1:50" ht="13.5" customHeight="1" x14ac:dyDescent="0.2">
      <c r="A696" s="30"/>
      <c r="B696" s="30"/>
      <c r="C696" s="405" t="s">
        <v>825</v>
      </c>
      <c r="D696" s="405"/>
      <c r="E696" s="405"/>
      <c r="F696" s="405"/>
      <c r="G696" s="405"/>
      <c r="H696" s="405"/>
      <c r="I696" s="405"/>
      <c r="J696" s="405"/>
      <c r="K696" s="405"/>
      <c r="L696" s="405"/>
      <c r="M696" s="405"/>
      <c r="N696" s="405"/>
      <c r="O696" s="405"/>
      <c r="P696" s="405"/>
      <c r="Q696" s="405"/>
      <c r="R696" s="405"/>
      <c r="S696" s="377" t="s">
        <v>881</v>
      </c>
      <c r="T696" s="378"/>
      <c r="U696" s="378"/>
      <c r="V696" s="378"/>
      <c r="W696" s="378"/>
      <c r="X696" s="379"/>
      <c r="Y696" s="405" t="s">
        <v>825</v>
      </c>
      <c r="Z696" s="405"/>
      <c r="AA696" s="405"/>
      <c r="AB696" s="405"/>
      <c r="AC696" s="405"/>
      <c r="AD696" s="405"/>
      <c r="AE696" s="405"/>
      <c r="AF696" s="405"/>
      <c r="AG696" s="405"/>
      <c r="AH696" s="405"/>
      <c r="AI696" s="405"/>
      <c r="AJ696" s="405"/>
      <c r="AK696" s="405"/>
      <c r="AL696" s="405"/>
      <c r="AM696" s="405"/>
      <c r="AN696" s="377" t="s">
        <v>881</v>
      </c>
      <c r="AO696" s="378"/>
      <c r="AP696" s="378"/>
      <c r="AQ696" s="378"/>
      <c r="AR696" s="378"/>
      <c r="AS696" s="379"/>
      <c r="AW696" s="35"/>
      <c r="AX696" s="35"/>
    </row>
    <row r="697" spans="1:50" ht="13.5" customHeight="1" x14ac:dyDescent="0.2">
      <c r="A697" s="30"/>
      <c r="B697" s="30"/>
      <c r="C697" s="405" t="s">
        <v>826</v>
      </c>
      <c r="D697" s="405"/>
      <c r="E697" s="405"/>
      <c r="F697" s="405"/>
      <c r="G697" s="405"/>
      <c r="H697" s="405"/>
      <c r="I697" s="405"/>
      <c r="J697" s="405"/>
      <c r="K697" s="405"/>
      <c r="L697" s="405"/>
      <c r="M697" s="405"/>
      <c r="N697" s="405"/>
      <c r="O697" s="405"/>
      <c r="P697" s="405"/>
      <c r="Q697" s="405"/>
      <c r="R697" s="405"/>
      <c r="S697" s="377" t="s">
        <v>881</v>
      </c>
      <c r="T697" s="378"/>
      <c r="U697" s="378"/>
      <c r="V697" s="378"/>
      <c r="W697" s="378"/>
      <c r="X697" s="379"/>
      <c r="Y697" s="405" t="s">
        <v>826</v>
      </c>
      <c r="Z697" s="405"/>
      <c r="AA697" s="405"/>
      <c r="AB697" s="405"/>
      <c r="AC697" s="405"/>
      <c r="AD697" s="405"/>
      <c r="AE697" s="405"/>
      <c r="AF697" s="405"/>
      <c r="AG697" s="405"/>
      <c r="AH697" s="405"/>
      <c r="AI697" s="405"/>
      <c r="AJ697" s="405"/>
      <c r="AK697" s="405"/>
      <c r="AL697" s="405"/>
      <c r="AM697" s="405"/>
      <c r="AN697" s="377" t="s">
        <v>881</v>
      </c>
      <c r="AO697" s="378"/>
      <c r="AP697" s="378"/>
      <c r="AQ697" s="378"/>
      <c r="AR697" s="378"/>
      <c r="AS697" s="379"/>
      <c r="AW697" s="35"/>
      <c r="AX697" s="35"/>
    </row>
    <row r="698" spans="1:50" ht="10.5" customHeight="1" x14ac:dyDescent="0.2">
      <c r="A698" s="30"/>
      <c r="B698" s="30"/>
      <c r="C698" s="135"/>
      <c r="D698" s="135"/>
      <c r="E698" s="135"/>
      <c r="F698" s="135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W698" s="35"/>
      <c r="AX698" s="35"/>
    </row>
    <row r="699" spans="1:50" ht="14.25" customHeight="1" x14ac:dyDescent="0.2">
      <c r="A699" s="30"/>
      <c r="B699" s="30"/>
      <c r="C699" s="407" t="s">
        <v>857</v>
      </c>
      <c r="D699" s="407"/>
      <c r="E699" s="407"/>
      <c r="F699" s="407"/>
      <c r="G699" s="407"/>
      <c r="H699" s="407"/>
      <c r="I699" s="407"/>
      <c r="J699" s="407"/>
      <c r="K699" s="407"/>
      <c r="L699" s="407"/>
      <c r="M699" s="407"/>
      <c r="N699" s="407"/>
      <c r="O699" s="407"/>
      <c r="P699" s="407"/>
      <c r="Q699" s="407"/>
      <c r="R699" s="407"/>
      <c r="S699" s="407"/>
      <c r="T699" s="407"/>
      <c r="U699" s="407"/>
      <c r="V699" s="407"/>
      <c r="W699" s="407"/>
      <c r="X699" s="407"/>
      <c r="Y699" s="407"/>
      <c r="Z699" s="407"/>
      <c r="AA699" s="407"/>
      <c r="AB699" s="407"/>
      <c r="AC699" s="407"/>
      <c r="AD699" s="407"/>
      <c r="AE699" s="407"/>
      <c r="AF699" s="407"/>
      <c r="AG699" s="407"/>
      <c r="AH699" s="407"/>
      <c r="AI699" s="407"/>
      <c r="AJ699" s="407"/>
      <c r="AK699" s="407"/>
      <c r="AL699" s="407"/>
      <c r="AM699" s="407"/>
      <c r="AN699" s="407"/>
      <c r="AO699" s="407"/>
      <c r="AP699" s="407"/>
      <c r="AQ699" s="407"/>
      <c r="AR699" s="407"/>
      <c r="AS699" s="407"/>
      <c r="AW699" s="35"/>
      <c r="AX699" s="35"/>
    </row>
    <row r="700" spans="1:50" ht="48.75" customHeight="1" x14ac:dyDescent="0.2">
      <c r="A700" s="30"/>
      <c r="B700" s="30"/>
      <c r="C700" s="408"/>
      <c r="D700" s="408"/>
      <c r="E700" s="408"/>
      <c r="F700" s="408"/>
      <c r="G700" s="408"/>
      <c r="H700" s="408"/>
      <c r="I700" s="408"/>
      <c r="J700" s="408"/>
      <c r="K700" s="408"/>
      <c r="L700" s="408"/>
      <c r="M700" s="408"/>
      <c r="N700" s="408"/>
      <c r="O700" s="408"/>
      <c r="P700" s="408"/>
      <c r="Q700" s="408"/>
      <c r="R700" s="408"/>
      <c r="S700" s="408"/>
      <c r="T700" s="408"/>
      <c r="U700" s="408"/>
      <c r="V700" s="408"/>
      <c r="W700" s="408"/>
      <c r="X700" s="408"/>
      <c r="Y700" s="409"/>
      <c r="Z700" s="409"/>
      <c r="AA700" s="409"/>
      <c r="AB700" s="409"/>
      <c r="AC700" s="409"/>
      <c r="AD700" s="409"/>
      <c r="AE700" s="409"/>
      <c r="AF700" s="409"/>
      <c r="AG700" s="409"/>
      <c r="AH700" s="409"/>
      <c r="AI700" s="409"/>
      <c r="AJ700" s="409"/>
      <c r="AK700" s="409"/>
      <c r="AL700" s="409"/>
      <c r="AM700" s="409"/>
      <c r="AN700" s="409"/>
      <c r="AO700" s="409"/>
      <c r="AP700" s="409"/>
      <c r="AQ700" s="409"/>
      <c r="AR700" s="409"/>
      <c r="AS700" s="409"/>
      <c r="AW700" s="35"/>
      <c r="AX700" s="35"/>
    </row>
    <row r="701" spans="1:50" ht="13.5" customHeight="1" x14ac:dyDescent="0.2">
      <c r="A701" s="30"/>
      <c r="B701" s="30"/>
      <c r="C701" s="410" t="s">
        <v>828</v>
      </c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345" t="s">
        <v>907</v>
      </c>
      <c r="T701" s="345"/>
      <c r="U701" s="345"/>
      <c r="V701" s="345"/>
      <c r="W701" s="345"/>
      <c r="X701" s="345"/>
      <c r="Y701" s="410" t="s">
        <v>827</v>
      </c>
      <c r="Z701" s="410"/>
      <c r="AA701" s="410"/>
      <c r="AB701" s="410"/>
      <c r="AC701" s="410"/>
      <c r="AD701" s="410"/>
      <c r="AE701" s="410"/>
      <c r="AF701" s="410"/>
      <c r="AG701" s="410"/>
      <c r="AH701" s="410"/>
      <c r="AI701" s="410"/>
      <c r="AJ701" s="410"/>
      <c r="AK701" s="410"/>
      <c r="AL701" s="410"/>
      <c r="AM701" s="410"/>
      <c r="AN701" s="345" t="s">
        <v>907</v>
      </c>
      <c r="AO701" s="345"/>
      <c r="AP701" s="345"/>
      <c r="AQ701" s="345"/>
      <c r="AR701" s="345"/>
      <c r="AS701" s="345"/>
      <c r="AW701" s="35"/>
      <c r="AX701" s="35"/>
    </row>
    <row r="702" spans="1:50" ht="13.5" customHeight="1" x14ac:dyDescent="0.2">
      <c r="A702" s="30"/>
      <c r="B702" s="30"/>
      <c r="C702" s="405" t="s">
        <v>817</v>
      </c>
      <c r="D702" s="405"/>
      <c r="E702" s="405"/>
      <c r="F702" s="405"/>
      <c r="G702" s="405"/>
      <c r="H702" s="405"/>
      <c r="I702" s="405"/>
      <c r="J702" s="405"/>
      <c r="K702" s="405"/>
      <c r="L702" s="405"/>
      <c r="M702" s="405"/>
      <c r="N702" s="405"/>
      <c r="O702" s="405"/>
      <c r="P702" s="405"/>
      <c r="Q702" s="405"/>
      <c r="R702" s="405"/>
      <c r="S702" s="377" t="s">
        <v>881</v>
      </c>
      <c r="T702" s="378"/>
      <c r="U702" s="378"/>
      <c r="V702" s="378"/>
      <c r="W702" s="378"/>
      <c r="X702" s="379"/>
      <c r="Y702" s="405" t="s">
        <v>817</v>
      </c>
      <c r="Z702" s="405"/>
      <c r="AA702" s="405"/>
      <c r="AB702" s="405"/>
      <c r="AC702" s="405"/>
      <c r="AD702" s="405"/>
      <c r="AE702" s="405"/>
      <c r="AF702" s="405"/>
      <c r="AG702" s="405"/>
      <c r="AH702" s="405"/>
      <c r="AI702" s="405"/>
      <c r="AJ702" s="405"/>
      <c r="AK702" s="405"/>
      <c r="AL702" s="405"/>
      <c r="AM702" s="405"/>
      <c r="AN702" s="377" t="s">
        <v>881</v>
      </c>
      <c r="AO702" s="378"/>
      <c r="AP702" s="378"/>
      <c r="AQ702" s="378"/>
      <c r="AR702" s="378"/>
      <c r="AS702" s="379"/>
      <c r="AW702" s="35"/>
      <c r="AX702" s="35"/>
    </row>
    <row r="703" spans="1:50" ht="13.5" customHeight="1" x14ac:dyDescent="0.2">
      <c r="A703" s="30"/>
      <c r="B703" s="30"/>
      <c r="C703" s="405" t="s">
        <v>818</v>
      </c>
      <c r="D703" s="405"/>
      <c r="E703" s="405"/>
      <c r="F703" s="405"/>
      <c r="G703" s="405"/>
      <c r="H703" s="405"/>
      <c r="I703" s="405"/>
      <c r="J703" s="405"/>
      <c r="K703" s="405"/>
      <c r="L703" s="405"/>
      <c r="M703" s="405"/>
      <c r="N703" s="405"/>
      <c r="O703" s="405"/>
      <c r="P703" s="405"/>
      <c r="Q703" s="405"/>
      <c r="R703" s="405"/>
      <c r="S703" s="377" t="s">
        <v>881</v>
      </c>
      <c r="T703" s="378"/>
      <c r="U703" s="378"/>
      <c r="V703" s="378"/>
      <c r="W703" s="378"/>
      <c r="X703" s="379"/>
      <c r="Y703" s="405" t="s">
        <v>818</v>
      </c>
      <c r="Z703" s="405"/>
      <c r="AA703" s="405"/>
      <c r="AB703" s="405"/>
      <c r="AC703" s="405"/>
      <c r="AD703" s="405"/>
      <c r="AE703" s="405"/>
      <c r="AF703" s="405"/>
      <c r="AG703" s="405"/>
      <c r="AH703" s="405"/>
      <c r="AI703" s="405"/>
      <c r="AJ703" s="405"/>
      <c r="AK703" s="405"/>
      <c r="AL703" s="405"/>
      <c r="AM703" s="405"/>
      <c r="AN703" s="377" t="s">
        <v>881</v>
      </c>
      <c r="AO703" s="378"/>
      <c r="AP703" s="378"/>
      <c r="AQ703" s="378"/>
      <c r="AR703" s="378"/>
      <c r="AS703" s="379"/>
      <c r="AW703" s="35"/>
      <c r="AX703" s="35"/>
    </row>
    <row r="704" spans="1:50" ht="13.5" customHeight="1" x14ac:dyDescent="0.2">
      <c r="A704" s="30"/>
      <c r="B704" s="30"/>
      <c r="C704" s="405" t="s">
        <v>819</v>
      </c>
      <c r="D704" s="405"/>
      <c r="E704" s="405"/>
      <c r="F704" s="405"/>
      <c r="G704" s="405"/>
      <c r="H704" s="405"/>
      <c r="I704" s="405"/>
      <c r="J704" s="405"/>
      <c r="K704" s="405"/>
      <c r="L704" s="405"/>
      <c r="M704" s="405"/>
      <c r="N704" s="405"/>
      <c r="O704" s="405"/>
      <c r="P704" s="405"/>
      <c r="Q704" s="405"/>
      <c r="R704" s="405"/>
      <c r="S704" s="377" t="s">
        <v>881</v>
      </c>
      <c r="T704" s="378"/>
      <c r="U704" s="378"/>
      <c r="V704" s="378"/>
      <c r="W704" s="378"/>
      <c r="X704" s="379"/>
      <c r="Y704" s="405" t="s">
        <v>819</v>
      </c>
      <c r="Z704" s="405"/>
      <c r="AA704" s="405"/>
      <c r="AB704" s="405"/>
      <c r="AC704" s="405"/>
      <c r="AD704" s="405"/>
      <c r="AE704" s="405"/>
      <c r="AF704" s="405"/>
      <c r="AG704" s="405"/>
      <c r="AH704" s="405"/>
      <c r="AI704" s="405"/>
      <c r="AJ704" s="405"/>
      <c r="AK704" s="405"/>
      <c r="AL704" s="405"/>
      <c r="AM704" s="405"/>
      <c r="AN704" s="377" t="s">
        <v>881</v>
      </c>
      <c r="AO704" s="378"/>
      <c r="AP704" s="378"/>
      <c r="AQ704" s="378"/>
      <c r="AR704" s="378"/>
      <c r="AS704" s="379"/>
      <c r="AW704" s="35"/>
      <c r="AX704" s="35"/>
    </row>
    <row r="705" spans="1:50" ht="13.5" customHeight="1" x14ac:dyDescent="0.2">
      <c r="A705" s="30"/>
      <c r="B705" s="30"/>
      <c r="C705" s="405" t="s">
        <v>820</v>
      </c>
      <c r="D705" s="405"/>
      <c r="E705" s="405"/>
      <c r="F705" s="405"/>
      <c r="G705" s="405"/>
      <c r="H705" s="405"/>
      <c r="I705" s="405"/>
      <c r="J705" s="405"/>
      <c r="K705" s="405"/>
      <c r="L705" s="405"/>
      <c r="M705" s="405"/>
      <c r="N705" s="405"/>
      <c r="O705" s="405"/>
      <c r="P705" s="405"/>
      <c r="Q705" s="405"/>
      <c r="R705" s="405"/>
      <c r="S705" s="377" t="s">
        <v>881</v>
      </c>
      <c r="T705" s="378"/>
      <c r="U705" s="378"/>
      <c r="V705" s="378"/>
      <c r="W705" s="378"/>
      <c r="X705" s="379"/>
      <c r="Y705" s="405" t="s">
        <v>820</v>
      </c>
      <c r="Z705" s="405"/>
      <c r="AA705" s="405"/>
      <c r="AB705" s="405"/>
      <c r="AC705" s="405"/>
      <c r="AD705" s="405"/>
      <c r="AE705" s="405"/>
      <c r="AF705" s="405"/>
      <c r="AG705" s="405"/>
      <c r="AH705" s="405"/>
      <c r="AI705" s="405"/>
      <c r="AJ705" s="405"/>
      <c r="AK705" s="405"/>
      <c r="AL705" s="405"/>
      <c r="AM705" s="405"/>
      <c r="AN705" s="377" t="s">
        <v>881</v>
      </c>
      <c r="AO705" s="378"/>
      <c r="AP705" s="378"/>
      <c r="AQ705" s="378"/>
      <c r="AR705" s="378"/>
      <c r="AS705" s="379"/>
      <c r="AW705" s="35"/>
      <c r="AX705" s="35"/>
    </row>
    <row r="706" spans="1:50" ht="13.5" customHeight="1" x14ac:dyDescent="0.2">
      <c r="A706" s="30"/>
      <c r="B706" s="30"/>
      <c r="C706" s="405" t="s">
        <v>821</v>
      </c>
      <c r="D706" s="405"/>
      <c r="E706" s="405"/>
      <c r="F706" s="405"/>
      <c r="G706" s="405"/>
      <c r="H706" s="405"/>
      <c r="I706" s="405"/>
      <c r="J706" s="405"/>
      <c r="K706" s="405"/>
      <c r="L706" s="405"/>
      <c r="M706" s="405"/>
      <c r="N706" s="405"/>
      <c r="O706" s="405"/>
      <c r="P706" s="405"/>
      <c r="Q706" s="405"/>
      <c r="R706" s="405"/>
      <c r="S706" s="377" t="s">
        <v>881</v>
      </c>
      <c r="T706" s="378"/>
      <c r="U706" s="378"/>
      <c r="V706" s="378"/>
      <c r="W706" s="378"/>
      <c r="X706" s="379"/>
      <c r="Y706" s="405" t="s">
        <v>821</v>
      </c>
      <c r="Z706" s="405"/>
      <c r="AA706" s="405"/>
      <c r="AB706" s="405"/>
      <c r="AC706" s="405"/>
      <c r="AD706" s="405"/>
      <c r="AE706" s="405"/>
      <c r="AF706" s="405"/>
      <c r="AG706" s="405"/>
      <c r="AH706" s="405"/>
      <c r="AI706" s="405"/>
      <c r="AJ706" s="405"/>
      <c r="AK706" s="405"/>
      <c r="AL706" s="405"/>
      <c r="AM706" s="405"/>
      <c r="AN706" s="377" t="s">
        <v>881</v>
      </c>
      <c r="AO706" s="378"/>
      <c r="AP706" s="378"/>
      <c r="AQ706" s="378"/>
      <c r="AR706" s="378"/>
      <c r="AS706" s="379"/>
      <c r="AW706" s="35"/>
      <c r="AX706" s="35"/>
    </row>
    <row r="707" spans="1:50" ht="13.5" customHeight="1" x14ac:dyDescent="0.2">
      <c r="A707" s="30"/>
      <c r="B707" s="30"/>
      <c r="C707" s="405" t="s">
        <v>822</v>
      </c>
      <c r="D707" s="405"/>
      <c r="E707" s="405"/>
      <c r="F707" s="405"/>
      <c r="G707" s="405"/>
      <c r="H707" s="405"/>
      <c r="I707" s="405"/>
      <c r="J707" s="405"/>
      <c r="K707" s="405"/>
      <c r="L707" s="405"/>
      <c r="M707" s="405"/>
      <c r="N707" s="405"/>
      <c r="O707" s="405"/>
      <c r="P707" s="405"/>
      <c r="Q707" s="405"/>
      <c r="R707" s="405"/>
      <c r="S707" s="377" t="s">
        <v>881</v>
      </c>
      <c r="T707" s="378"/>
      <c r="U707" s="378"/>
      <c r="V707" s="378"/>
      <c r="W707" s="378"/>
      <c r="X707" s="379"/>
      <c r="Y707" s="405" t="s">
        <v>822</v>
      </c>
      <c r="Z707" s="405"/>
      <c r="AA707" s="405"/>
      <c r="AB707" s="405"/>
      <c r="AC707" s="405"/>
      <c r="AD707" s="405"/>
      <c r="AE707" s="405"/>
      <c r="AF707" s="405"/>
      <c r="AG707" s="405"/>
      <c r="AH707" s="405"/>
      <c r="AI707" s="405"/>
      <c r="AJ707" s="405"/>
      <c r="AK707" s="405"/>
      <c r="AL707" s="405"/>
      <c r="AM707" s="405"/>
      <c r="AN707" s="377" t="s">
        <v>881</v>
      </c>
      <c r="AO707" s="378"/>
      <c r="AP707" s="378"/>
      <c r="AQ707" s="378"/>
      <c r="AR707" s="378"/>
      <c r="AS707" s="379"/>
      <c r="AW707" s="35"/>
      <c r="AX707" s="35"/>
    </row>
    <row r="708" spans="1:50" ht="13.5" customHeight="1" x14ac:dyDescent="0.2">
      <c r="A708" s="30"/>
      <c r="B708" s="30"/>
      <c r="C708" s="405" t="s">
        <v>823</v>
      </c>
      <c r="D708" s="405"/>
      <c r="E708" s="405"/>
      <c r="F708" s="405"/>
      <c r="G708" s="405"/>
      <c r="H708" s="405"/>
      <c r="I708" s="405"/>
      <c r="J708" s="405"/>
      <c r="K708" s="405"/>
      <c r="L708" s="405"/>
      <c r="M708" s="405"/>
      <c r="N708" s="405"/>
      <c r="O708" s="405"/>
      <c r="P708" s="405"/>
      <c r="Q708" s="405"/>
      <c r="R708" s="405"/>
      <c r="S708" s="377" t="s">
        <v>881</v>
      </c>
      <c r="T708" s="378"/>
      <c r="U708" s="378"/>
      <c r="V708" s="378"/>
      <c r="W708" s="378"/>
      <c r="X708" s="379"/>
      <c r="Y708" s="405" t="s">
        <v>823</v>
      </c>
      <c r="Z708" s="405"/>
      <c r="AA708" s="405"/>
      <c r="AB708" s="405"/>
      <c r="AC708" s="405"/>
      <c r="AD708" s="405"/>
      <c r="AE708" s="405"/>
      <c r="AF708" s="405"/>
      <c r="AG708" s="405"/>
      <c r="AH708" s="405"/>
      <c r="AI708" s="405"/>
      <c r="AJ708" s="405"/>
      <c r="AK708" s="405"/>
      <c r="AL708" s="405"/>
      <c r="AM708" s="405"/>
      <c r="AN708" s="377" t="s">
        <v>881</v>
      </c>
      <c r="AO708" s="378"/>
      <c r="AP708" s="378"/>
      <c r="AQ708" s="378"/>
      <c r="AR708" s="378"/>
      <c r="AS708" s="379"/>
      <c r="AW708" s="35"/>
      <c r="AX708" s="35"/>
    </row>
    <row r="709" spans="1:50" ht="13.5" customHeight="1" x14ac:dyDescent="0.2">
      <c r="A709" s="30"/>
      <c r="B709" s="30"/>
      <c r="C709" s="405" t="s">
        <v>824</v>
      </c>
      <c r="D709" s="405"/>
      <c r="E709" s="405"/>
      <c r="F709" s="405"/>
      <c r="G709" s="405"/>
      <c r="H709" s="405"/>
      <c r="I709" s="405"/>
      <c r="J709" s="405"/>
      <c r="K709" s="405"/>
      <c r="L709" s="405"/>
      <c r="M709" s="405"/>
      <c r="N709" s="405"/>
      <c r="O709" s="405"/>
      <c r="P709" s="405"/>
      <c r="Q709" s="405"/>
      <c r="R709" s="405"/>
      <c r="S709" s="377" t="s">
        <v>881</v>
      </c>
      <c r="T709" s="378"/>
      <c r="U709" s="378"/>
      <c r="V709" s="378"/>
      <c r="W709" s="378"/>
      <c r="X709" s="379"/>
      <c r="Y709" s="405" t="s">
        <v>824</v>
      </c>
      <c r="Z709" s="405"/>
      <c r="AA709" s="405"/>
      <c r="AB709" s="405"/>
      <c r="AC709" s="405"/>
      <c r="AD709" s="405"/>
      <c r="AE709" s="405"/>
      <c r="AF709" s="405"/>
      <c r="AG709" s="405"/>
      <c r="AH709" s="405"/>
      <c r="AI709" s="405"/>
      <c r="AJ709" s="405"/>
      <c r="AK709" s="405"/>
      <c r="AL709" s="405"/>
      <c r="AM709" s="405"/>
      <c r="AN709" s="377" t="s">
        <v>881</v>
      </c>
      <c r="AO709" s="378"/>
      <c r="AP709" s="378"/>
      <c r="AQ709" s="378"/>
      <c r="AR709" s="378"/>
      <c r="AS709" s="379"/>
      <c r="AW709" s="35"/>
      <c r="AX709" s="35"/>
    </row>
    <row r="710" spans="1:50" ht="13.5" customHeight="1" x14ac:dyDescent="0.2">
      <c r="A710" s="30"/>
      <c r="B710" s="30"/>
      <c r="C710" s="405" t="s">
        <v>825</v>
      </c>
      <c r="D710" s="405"/>
      <c r="E710" s="405"/>
      <c r="F710" s="405"/>
      <c r="G710" s="405"/>
      <c r="H710" s="405"/>
      <c r="I710" s="405"/>
      <c r="J710" s="405"/>
      <c r="K710" s="405"/>
      <c r="L710" s="405"/>
      <c r="M710" s="405"/>
      <c r="N710" s="405"/>
      <c r="O710" s="405"/>
      <c r="P710" s="405"/>
      <c r="Q710" s="405"/>
      <c r="R710" s="405"/>
      <c r="S710" s="377" t="s">
        <v>881</v>
      </c>
      <c r="T710" s="378"/>
      <c r="U710" s="378"/>
      <c r="V710" s="378"/>
      <c r="W710" s="378"/>
      <c r="X710" s="379"/>
      <c r="Y710" s="405" t="s">
        <v>825</v>
      </c>
      <c r="Z710" s="405"/>
      <c r="AA710" s="405"/>
      <c r="AB710" s="405"/>
      <c r="AC710" s="405"/>
      <c r="AD710" s="405"/>
      <c r="AE710" s="405"/>
      <c r="AF710" s="405"/>
      <c r="AG710" s="405"/>
      <c r="AH710" s="405"/>
      <c r="AI710" s="405"/>
      <c r="AJ710" s="405"/>
      <c r="AK710" s="405"/>
      <c r="AL710" s="405"/>
      <c r="AM710" s="405"/>
      <c r="AN710" s="377" t="s">
        <v>881</v>
      </c>
      <c r="AO710" s="378"/>
      <c r="AP710" s="378"/>
      <c r="AQ710" s="378"/>
      <c r="AR710" s="378"/>
      <c r="AS710" s="379"/>
      <c r="AW710" s="35"/>
      <c r="AX710" s="35"/>
    </row>
    <row r="711" spans="1:50" ht="13.5" customHeight="1" x14ac:dyDescent="0.2">
      <c r="A711" s="30"/>
      <c r="B711" s="30"/>
      <c r="C711" s="405" t="s">
        <v>826</v>
      </c>
      <c r="D711" s="405"/>
      <c r="E711" s="405"/>
      <c r="F711" s="405"/>
      <c r="G711" s="405"/>
      <c r="H711" s="405"/>
      <c r="I711" s="405"/>
      <c r="J711" s="405"/>
      <c r="K711" s="405"/>
      <c r="L711" s="405"/>
      <c r="M711" s="405"/>
      <c r="N711" s="405"/>
      <c r="O711" s="405"/>
      <c r="P711" s="405"/>
      <c r="Q711" s="405"/>
      <c r="R711" s="405"/>
      <c r="S711" s="377" t="s">
        <v>881</v>
      </c>
      <c r="T711" s="378"/>
      <c r="U711" s="378"/>
      <c r="V711" s="378"/>
      <c r="W711" s="378"/>
      <c r="X711" s="379"/>
      <c r="Y711" s="405" t="s">
        <v>826</v>
      </c>
      <c r="Z711" s="405"/>
      <c r="AA711" s="405"/>
      <c r="AB711" s="405"/>
      <c r="AC711" s="405"/>
      <c r="AD711" s="405"/>
      <c r="AE711" s="405"/>
      <c r="AF711" s="405"/>
      <c r="AG711" s="405"/>
      <c r="AH711" s="405"/>
      <c r="AI711" s="405"/>
      <c r="AJ711" s="405"/>
      <c r="AK711" s="405"/>
      <c r="AL711" s="405"/>
      <c r="AM711" s="405"/>
      <c r="AN711" s="377" t="s">
        <v>881</v>
      </c>
      <c r="AO711" s="378"/>
      <c r="AP711" s="378"/>
      <c r="AQ711" s="378"/>
      <c r="AR711" s="378"/>
      <c r="AS711" s="379"/>
      <c r="AW711" s="35"/>
      <c r="AX711" s="35"/>
    </row>
    <row r="712" spans="1:50" s="35" customFormat="1" ht="13.5" customHeight="1" x14ac:dyDescent="0.25">
      <c r="A712" s="131"/>
      <c r="B712" s="131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50"/>
      <c r="T712" s="150"/>
      <c r="U712" s="150"/>
      <c r="V712" s="150"/>
      <c r="W712" s="150"/>
      <c r="X712" s="150"/>
      <c r="Y712" s="149"/>
      <c r="Z712" s="149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49"/>
      <c r="AN712" s="150"/>
      <c r="AO712" s="150"/>
      <c r="AP712" s="150"/>
      <c r="AQ712" s="150"/>
      <c r="AR712" s="150"/>
      <c r="AS712" s="150"/>
    </row>
    <row r="713" spans="1:50" ht="14.25" customHeight="1" x14ac:dyDescent="0.25">
      <c r="A713" s="26"/>
      <c r="B713" s="26"/>
      <c r="C713" s="406" t="s">
        <v>865</v>
      </c>
      <c r="D713" s="406"/>
      <c r="E713" s="406"/>
      <c r="F713" s="406"/>
      <c r="G713" s="406"/>
      <c r="H713" s="406"/>
      <c r="I713" s="406"/>
      <c r="J713" s="406"/>
      <c r="K713" s="406"/>
      <c r="L713" s="406"/>
      <c r="M713" s="406"/>
      <c r="N713" s="406"/>
      <c r="O713" s="406"/>
      <c r="P713" s="406"/>
      <c r="Q713" s="406"/>
      <c r="R713" s="406"/>
      <c r="S713" s="406"/>
      <c r="T713" s="406"/>
      <c r="U713" s="406"/>
      <c r="V713" s="406"/>
      <c r="W713" s="406"/>
      <c r="X713" s="406"/>
      <c r="Y713" s="406"/>
      <c r="Z713" s="406"/>
      <c r="AA713" s="406"/>
      <c r="AB713" s="406"/>
      <c r="AC713" s="406"/>
      <c r="AD713" s="406"/>
      <c r="AE713" s="406"/>
      <c r="AF713" s="406"/>
      <c r="AG713" s="406"/>
      <c r="AH713" s="406"/>
      <c r="AI713" s="406"/>
      <c r="AJ713" s="406"/>
      <c r="AK713" s="406"/>
      <c r="AL713" s="406"/>
      <c r="AM713" s="406"/>
      <c r="AN713" s="406"/>
      <c r="AO713" s="406"/>
      <c r="AP713" s="406"/>
      <c r="AQ713" s="406"/>
      <c r="AR713" s="406"/>
      <c r="AS713" s="406"/>
      <c r="AW713" s="35"/>
      <c r="AX713" s="35"/>
    </row>
    <row r="714" spans="1:50" ht="14.25" customHeight="1" x14ac:dyDescent="0.25">
      <c r="C714" s="391" t="s">
        <v>860</v>
      </c>
      <c r="D714" s="391"/>
      <c r="E714" s="391"/>
      <c r="F714" s="391"/>
      <c r="G714" s="391"/>
      <c r="H714" s="391"/>
      <c r="I714" s="391"/>
      <c r="J714" s="391"/>
      <c r="K714" s="391"/>
      <c r="L714" s="391"/>
      <c r="M714" s="391"/>
      <c r="N714" s="391"/>
      <c r="O714" s="391"/>
      <c r="P714" s="391"/>
      <c r="Q714" s="391"/>
      <c r="R714" s="391"/>
      <c r="S714" s="391"/>
      <c r="T714" s="391"/>
      <c r="U714" s="391"/>
      <c r="V714" s="391"/>
      <c r="W714" s="391"/>
      <c r="X714" s="391"/>
      <c r="Y714" s="391"/>
      <c r="Z714" s="391"/>
      <c r="AA714" s="391"/>
      <c r="AB714" s="391"/>
      <c r="AC714" s="391"/>
      <c r="AD714" s="391"/>
      <c r="AE714" s="391"/>
      <c r="AF714" s="391"/>
      <c r="AG714" s="391"/>
      <c r="AH714" s="391"/>
      <c r="AI714" s="391"/>
      <c r="AJ714" s="391"/>
      <c r="AK714" s="391"/>
      <c r="AL714" s="391"/>
      <c r="AM714" s="391"/>
      <c r="AN714" s="345" t="s">
        <v>907</v>
      </c>
      <c r="AO714" s="345"/>
      <c r="AP714" s="345"/>
      <c r="AQ714" s="345"/>
      <c r="AR714" s="345"/>
      <c r="AS714" s="345"/>
      <c r="AW714" s="35"/>
      <c r="AX714" s="35"/>
    </row>
    <row r="715" spans="1:50" ht="14.25" customHeight="1" x14ac:dyDescent="0.25">
      <c r="C715" s="388" t="s">
        <v>829</v>
      </c>
      <c r="D715" s="388"/>
      <c r="E715" s="388"/>
      <c r="F715" s="388"/>
      <c r="G715" s="388"/>
      <c r="H715" s="388"/>
      <c r="I715" s="388"/>
      <c r="J715" s="388"/>
      <c r="K715" s="388"/>
      <c r="L715" s="388"/>
      <c r="M715" s="388"/>
      <c r="N715" s="388"/>
      <c r="O715" s="388"/>
      <c r="P715" s="388"/>
      <c r="Q715" s="388"/>
      <c r="R715" s="388"/>
      <c r="S715" s="388"/>
      <c r="T715" s="388"/>
      <c r="U715" s="388"/>
      <c r="V715" s="388"/>
      <c r="W715" s="388"/>
      <c r="X715" s="388"/>
      <c r="Y715" s="388"/>
      <c r="Z715" s="388"/>
      <c r="AA715" s="388"/>
      <c r="AB715" s="388"/>
      <c r="AC715" s="388"/>
      <c r="AD715" s="388"/>
      <c r="AE715" s="388"/>
      <c r="AF715" s="388"/>
      <c r="AG715" s="388"/>
      <c r="AH715" s="388"/>
      <c r="AI715" s="388"/>
      <c r="AJ715" s="388"/>
      <c r="AK715" s="388"/>
      <c r="AL715" s="388"/>
      <c r="AM715" s="388"/>
      <c r="AN715" s="377" t="s">
        <v>881</v>
      </c>
      <c r="AO715" s="378"/>
      <c r="AP715" s="378"/>
      <c r="AQ715" s="378"/>
      <c r="AR715" s="378"/>
      <c r="AS715" s="379"/>
      <c r="AW715" s="35"/>
      <c r="AX715" s="35"/>
    </row>
    <row r="716" spans="1:50" ht="14.25" customHeight="1" x14ac:dyDescent="0.25">
      <c r="C716" s="388" t="s">
        <v>830</v>
      </c>
      <c r="D716" s="388"/>
      <c r="E716" s="388"/>
      <c r="F716" s="388"/>
      <c r="G716" s="388"/>
      <c r="H716" s="388"/>
      <c r="I716" s="388"/>
      <c r="J716" s="388"/>
      <c r="K716" s="388"/>
      <c r="L716" s="388"/>
      <c r="M716" s="388"/>
      <c r="N716" s="388"/>
      <c r="O716" s="388"/>
      <c r="P716" s="388"/>
      <c r="Q716" s="388"/>
      <c r="R716" s="388"/>
      <c r="S716" s="388"/>
      <c r="T716" s="388"/>
      <c r="U716" s="388"/>
      <c r="V716" s="388"/>
      <c r="W716" s="388"/>
      <c r="X716" s="388"/>
      <c r="Y716" s="388"/>
      <c r="Z716" s="388"/>
      <c r="AA716" s="388"/>
      <c r="AB716" s="388"/>
      <c r="AC716" s="388"/>
      <c r="AD716" s="388"/>
      <c r="AE716" s="388"/>
      <c r="AF716" s="388"/>
      <c r="AG716" s="388"/>
      <c r="AH716" s="388"/>
      <c r="AI716" s="388"/>
      <c r="AJ716" s="388"/>
      <c r="AK716" s="388"/>
      <c r="AL716" s="388"/>
      <c r="AM716" s="388"/>
      <c r="AN716" s="377" t="s">
        <v>881</v>
      </c>
      <c r="AO716" s="378"/>
      <c r="AP716" s="378"/>
      <c r="AQ716" s="378"/>
      <c r="AR716" s="378"/>
      <c r="AS716" s="379"/>
      <c r="AW716" s="35"/>
      <c r="AX716" s="35"/>
    </row>
    <row r="717" spans="1:50" ht="11.25" customHeight="1" x14ac:dyDescent="0.25">
      <c r="C717" s="404"/>
      <c r="D717" s="404"/>
      <c r="E717" s="404"/>
      <c r="F717" s="404"/>
      <c r="G717" s="404"/>
      <c r="H717" s="404"/>
      <c r="I717" s="404"/>
      <c r="J717" s="404"/>
      <c r="K717" s="404"/>
      <c r="L717" s="404"/>
      <c r="M717" s="404"/>
      <c r="N717" s="404"/>
      <c r="O717" s="404"/>
      <c r="P717" s="404"/>
      <c r="Q717" s="404"/>
      <c r="R717" s="404"/>
      <c r="S717" s="404"/>
      <c r="T717" s="404"/>
      <c r="U717" s="404"/>
      <c r="V717" s="404"/>
      <c r="W717" s="404"/>
      <c r="X717" s="404"/>
      <c r="Y717" s="404"/>
      <c r="Z717" s="404"/>
      <c r="AA717" s="404"/>
      <c r="AB717" s="404"/>
      <c r="AC717" s="404"/>
      <c r="AD717" s="404"/>
      <c r="AE717" s="404"/>
      <c r="AF717" s="404"/>
      <c r="AG717" s="404"/>
      <c r="AH717" s="404"/>
      <c r="AI717" s="404"/>
      <c r="AJ717" s="404"/>
      <c r="AK717" s="404"/>
      <c r="AL717" s="404"/>
      <c r="AM717" s="404"/>
      <c r="AN717" s="121"/>
      <c r="AO717" s="121"/>
      <c r="AP717" s="121"/>
      <c r="AQ717" s="121"/>
      <c r="AR717" s="121"/>
      <c r="AS717" s="121"/>
      <c r="AW717" s="35"/>
      <c r="AX717" s="35"/>
    </row>
    <row r="718" spans="1:50" ht="11.25" customHeight="1" x14ac:dyDescent="0.25"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X718" s="140"/>
      <c r="Y718" s="140"/>
      <c r="Z718" s="140"/>
      <c r="AA718" s="140"/>
      <c r="AB718" s="140"/>
      <c r="AC718" s="140"/>
      <c r="AD718" s="140"/>
      <c r="AE718" s="140"/>
      <c r="AF718" s="140"/>
      <c r="AG718" s="140"/>
      <c r="AH718" s="140"/>
      <c r="AI718" s="140"/>
      <c r="AJ718" s="140"/>
      <c r="AK718" s="140"/>
      <c r="AL718" s="140"/>
      <c r="AM718" s="140"/>
      <c r="AN718" s="121"/>
      <c r="AO718" s="121"/>
      <c r="AP718" s="121"/>
      <c r="AQ718" s="121"/>
      <c r="AR718" s="121"/>
      <c r="AS718" s="121"/>
      <c r="AW718" s="35"/>
      <c r="AX718" s="35"/>
    </row>
    <row r="719" spans="1:50" ht="14.25" customHeight="1" x14ac:dyDescent="0.25">
      <c r="C719" s="391" t="s">
        <v>861</v>
      </c>
      <c r="D719" s="391"/>
      <c r="E719" s="391"/>
      <c r="F719" s="391"/>
      <c r="G719" s="391"/>
      <c r="H719" s="391"/>
      <c r="I719" s="391"/>
      <c r="J719" s="391"/>
      <c r="K719" s="391"/>
      <c r="L719" s="391"/>
      <c r="M719" s="391"/>
      <c r="N719" s="391"/>
      <c r="O719" s="391"/>
      <c r="P719" s="391"/>
      <c r="Q719" s="391"/>
      <c r="R719" s="391"/>
      <c r="S719" s="391"/>
      <c r="T719" s="391"/>
      <c r="U719" s="391"/>
      <c r="V719" s="391"/>
      <c r="W719" s="391"/>
      <c r="X719" s="391"/>
      <c r="Y719" s="391"/>
      <c r="Z719" s="391"/>
      <c r="AA719" s="391"/>
      <c r="AB719" s="391"/>
      <c r="AC719" s="391"/>
      <c r="AD719" s="391"/>
      <c r="AE719" s="391"/>
      <c r="AF719" s="391"/>
      <c r="AG719" s="391"/>
      <c r="AH719" s="391"/>
      <c r="AI719" s="391"/>
      <c r="AJ719" s="391"/>
      <c r="AK719" s="391"/>
      <c r="AL719" s="391"/>
      <c r="AM719" s="391"/>
      <c r="AN719" s="345" t="s">
        <v>907</v>
      </c>
      <c r="AO719" s="345"/>
      <c r="AP719" s="345"/>
      <c r="AQ719" s="345"/>
      <c r="AR719" s="345"/>
      <c r="AS719" s="345"/>
      <c r="AW719" s="35"/>
      <c r="AX719" s="35"/>
    </row>
    <row r="720" spans="1:50" ht="14.25" customHeight="1" x14ac:dyDescent="0.25">
      <c r="C720" s="388" t="s">
        <v>829</v>
      </c>
      <c r="D720" s="388"/>
      <c r="E720" s="388"/>
      <c r="F720" s="388"/>
      <c r="G720" s="388"/>
      <c r="H720" s="388"/>
      <c r="I720" s="388"/>
      <c r="J720" s="388"/>
      <c r="K720" s="388"/>
      <c r="L720" s="388"/>
      <c r="M720" s="388"/>
      <c r="N720" s="388"/>
      <c r="O720" s="388"/>
      <c r="P720" s="388"/>
      <c r="Q720" s="388"/>
      <c r="R720" s="388"/>
      <c r="S720" s="388"/>
      <c r="T720" s="388"/>
      <c r="U720" s="388"/>
      <c r="V720" s="388"/>
      <c r="W720" s="388"/>
      <c r="X720" s="388"/>
      <c r="Y720" s="388"/>
      <c r="Z720" s="388"/>
      <c r="AA720" s="388"/>
      <c r="AB720" s="388"/>
      <c r="AC720" s="388"/>
      <c r="AD720" s="388"/>
      <c r="AE720" s="388"/>
      <c r="AF720" s="388"/>
      <c r="AG720" s="388"/>
      <c r="AH720" s="388"/>
      <c r="AI720" s="388"/>
      <c r="AJ720" s="388"/>
      <c r="AK720" s="388"/>
      <c r="AL720" s="388"/>
      <c r="AM720" s="388"/>
      <c r="AN720" s="377" t="s">
        <v>881</v>
      </c>
      <c r="AO720" s="378"/>
      <c r="AP720" s="378"/>
      <c r="AQ720" s="378"/>
      <c r="AR720" s="378"/>
      <c r="AS720" s="379"/>
      <c r="AW720" s="35"/>
      <c r="AX720" s="35"/>
    </row>
    <row r="721" spans="1:50" ht="14.25" customHeight="1" x14ac:dyDescent="0.25">
      <c r="C721" s="388" t="s">
        <v>830</v>
      </c>
      <c r="D721" s="388"/>
      <c r="E721" s="388"/>
      <c r="F721" s="388"/>
      <c r="G721" s="388"/>
      <c r="H721" s="388"/>
      <c r="I721" s="388"/>
      <c r="J721" s="388"/>
      <c r="K721" s="388"/>
      <c r="L721" s="388"/>
      <c r="M721" s="388"/>
      <c r="N721" s="388"/>
      <c r="O721" s="388"/>
      <c r="P721" s="388"/>
      <c r="Q721" s="388"/>
      <c r="R721" s="388"/>
      <c r="S721" s="388"/>
      <c r="T721" s="388"/>
      <c r="U721" s="388"/>
      <c r="V721" s="388"/>
      <c r="W721" s="388"/>
      <c r="X721" s="388"/>
      <c r="Y721" s="388"/>
      <c r="Z721" s="388"/>
      <c r="AA721" s="388"/>
      <c r="AB721" s="388"/>
      <c r="AC721" s="388"/>
      <c r="AD721" s="388"/>
      <c r="AE721" s="388"/>
      <c r="AF721" s="388"/>
      <c r="AG721" s="388"/>
      <c r="AH721" s="388"/>
      <c r="AI721" s="388"/>
      <c r="AJ721" s="388"/>
      <c r="AK721" s="388"/>
      <c r="AL721" s="388"/>
      <c r="AM721" s="388"/>
      <c r="AN721" s="377" t="s">
        <v>881</v>
      </c>
      <c r="AO721" s="378"/>
      <c r="AP721" s="378"/>
      <c r="AQ721" s="378"/>
      <c r="AR721" s="378"/>
      <c r="AS721" s="379"/>
      <c r="AW721" s="35"/>
      <c r="AX721" s="35"/>
    </row>
    <row r="722" spans="1:50" ht="14.25" customHeight="1" x14ac:dyDescent="0.25">
      <c r="C722" s="388" t="s">
        <v>831</v>
      </c>
      <c r="D722" s="388"/>
      <c r="E722" s="388"/>
      <c r="F722" s="388"/>
      <c r="G722" s="388"/>
      <c r="H722" s="388"/>
      <c r="I722" s="388"/>
      <c r="J722" s="388"/>
      <c r="K722" s="388"/>
      <c r="L722" s="388"/>
      <c r="M722" s="388"/>
      <c r="N722" s="388"/>
      <c r="O722" s="388"/>
      <c r="P722" s="388"/>
      <c r="Q722" s="388"/>
      <c r="R722" s="388"/>
      <c r="S722" s="388"/>
      <c r="T722" s="388"/>
      <c r="U722" s="388"/>
      <c r="V722" s="388"/>
      <c r="W722" s="388"/>
      <c r="X722" s="388"/>
      <c r="Y722" s="388"/>
      <c r="Z722" s="388"/>
      <c r="AA722" s="388"/>
      <c r="AB722" s="388"/>
      <c r="AC722" s="388"/>
      <c r="AD722" s="388"/>
      <c r="AE722" s="388"/>
      <c r="AF722" s="388"/>
      <c r="AG722" s="388"/>
      <c r="AH722" s="388"/>
      <c r="AI722" s="388"/>
      <c r="AJ722" s="388"/>
      <c r="AK722" s="388"/>
      <c r="AL722" s="388"/>
      <c r="AM722" s="388"/>
      <c r="AN722" s="377" t="s">
        <v>881</v>
      </c>
      <c r="AO722" s="378"/>
      <c r="AP722" s="378"/>
      <c r="AQ722" s="378"/>
      <c r="AR722" s="378"/>
      <c r="AS722" s="379"/>
      <c r="AW722" s="35"/>
      <c r="AX722" s="35"/>
    </row>
    <row r="723" spans="1:50" ht="14.25" customHeight="1" x14ac:dyDescent="0.25">
      <c r="C723" s="388" t="s">
        <v>832</v>
      </c>
      <c r="D723" s="388"/>
      <c r="E723" s="388"/>
      <c r="F723" s="388"/>
      <c r="G723" s="388"/>
      <c r="H723" s="388"/>
      <c r="I723" s="388"/>
      <c r="J723" s="388"/>
      <c r="K723" s="388"/>
      <c r="L723" s="388"/>
      <c r="M723" s="388"/>
      <c r="N723" s="388"/>
      <c r="O723" s="388"/>
      <c r="P723" s="388"/>
      <c r="Q723" s="388"/>
      <c r="R723" s="388"/>
      <c r="S723" s="388"/>
      <c r="T723" s="388"/>
      <c r="U723" s="388"/>
      <c r="V723" s="388"/>
      <c r="W723" s="388"/>
      <c r="X723" s="388"/>
      <c r="Y723" s="388"/>
      <c r="Z723" s="388"/>
      <c r="AA723" s="388"/>
      <c r="AB723" s="388"/>
      <c r="AC723" s="388"/>
      <c r="AD723" s="388"/>
      <c r="AE723" s="388"/>
      <c r="AF723" s="388"/>
      <c r="AG723" s="388"/>
      <c r="AH723" s="388"/>
      <c r="AI723" s="388"/>
      <c r="AJ723" s="388"/>
      <c r="AK723" s="388"/>
      <c r="AL723" s="388"/>
      <c r="AM723" s="388"/>
      <c r="AN723" s="377" t="s">
        <v>881</v>
      </c>
      <c r="AO723" s="378"/>
      <c r="AP723" s="378"/>
      <c r="AQ723" s="378"/>
      <c r="AR723" s="378"/>
      <c r="AS723" s="379"/>
      <c r="AW723" s="35"/>
      <c r="AX723" s="35"/>
    </row>
    <row r="724" spans="1:50" ht="14.25" customHeight="1" x14ac:dyDescent="0.25">
      <c r="C724" s="388" t="s">
        <v>833</v>
      </c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  <c r="Z724" s="388"/>
      <c r="AA724" s="388"/>
      <c r="AB724" s="388"/>
      <c r="AC724" s="388"/>
      <c r="AD724" s="388"/>
      <c r="AE724" s="388"/>
      <c r="AF724" s="388"/>
      <c r="AG724" s="388"/>
      <c r="AH724" s="388"/>
      <c r="AI724" s="388"/>
      <c r="AJ724" s="388"/>
      <c r="AK724" s="388"/>
      <c r="AL724" s="388"/>
      <c r="AM724" s="388"/>
      <c r="AN724" s="377" t="s">
        <v>881</v>
      </c>
      <c r="AO724" s="378"/>
      <c r="AP724" s="378"/>
      <c r="AQ724" s="378"/>
      <c r="AR724" s="378"/>
      <c r="AS724" s="379"/>
      <c r="AW724" s="35"/>
      <c r="AX724" s="35"/>
    </row>
    <row r="725" spans="1:50" ht="14.25" customHeight="1" x14ac:dyDescent="0.25">
      <c r="C725" s="390"/>
      <c r="D725" s="390"/>
      <c r="E725" s="390"/>
      <c r="F725" s="390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  <c r="AB725" s="390"/>
      <c r="AC725" s="390"/>
      <c r="AD725" s="390"/>
      <c r="AE725" s="390"/>
      <c r="AF725" s="390"/>
      <c r="AG725" s="390"/>
      <c r="AH725" s="390"/>
      <c r="AI725" s="390"/>
      <c r="AJ725" s="390"/>
      <c r="AK725" s="390"/>
      <c r="AL725" s="390"/>
      <c r="AM725" s="390"/>
      <c r="AN725" s="402"/>
      <c r="AO725" s="402"/>
      <c r="AP725" s="402"/>
      <c r="AQ725" s="402"/>
      <c r="AR725" s="402"/>
      <c r="AS725" s="402"/>
      <c r="AW725" s="35"/>
      <c r="AX725" s="35"/>
    </row>
    <row r="726" spans="1:50" ht="14.25" customHeight="1" x14ac:dyDescent="0.25">
      <c r="C726" s="391" t="s">
        <v>862</v>
      </c>
      <c r="D726" s="391"/>
      <c r="E726" s="391"/>
      <c r="F726" s="391"/>
      <c r="G726" s="391"/>
      <c r="H726" s="391"/>
      <c r="I726" s="391"/>
      <c r="J726" s="391"/>
      <c r="K726" s="391"/>
      <c r="L726" s="391"/>
      <c r="M726" s="391"/>
      <c r="N726" s="391"/>
      <c r="O726" s="391"/>
      <c r="P726" s="391"/>
      <c r="Q726" s="391"/>
      <c r="R726" s="391"/>
      <c r="S726" s="391"/>
      <c r="T726" s="391"/>
      <c r="U726" s="391"/>
      <c r="V726" s="391"/>
      <c r="W726" s="391"/>
      <c r="X726" s="391"/>
      <c r="Y726" s="391"/>
      <c r="Z726" s="391"/>
      <c r="AA726" s="391"/>
      <c r="AB726" s="391"/>
      <c r="AC726" s="391"/>
      <c r="AD726" s="391"/>
      <c r="AE726" s="391"/>
      <c r="AF726" s="391"/>
      <c r="AG726" s="391"/>
      <c r="AH726" s="391"/>
      <c r="AI726" s="391"/>
      <c r="AJ726" s="391"/>
      <c r="AK726" s="391"/>
      <c r="AL726" s="391"/>
      <c r="AM726" s="391"/>
      <c r="AN726" s="345" t="s">
        <v>907</v>
      </c>
      <c r="AO726" s="345"/>
      <c r="AP726" s="345"/>
      <c r="AQ726" s="345"/>
      <c r="AR726" s="345"/>
      <c r="AS726" s="345"/>
      <c r="AW726" s="35"/>
      <c r="AX726" s="35"/>
    </row>
    <row r="727" spans="1:50" ht="14.25" customHeight="1" x14ac:dyDescent="0.25">
      <c r="C727" s="388" t="s">
        <v>829</v>
      </c>
      <c r="D727" s="388"/>
      <c r="E727" s="388"/>
      <c r="F727" s="388"/>
      <c r="G727" s="388"/>
      <c r="H727" s="388"/>
      <c r="I727" s="388"/>
      <c r="J727" s="388"/>
      <c r="K727" s="388"/>
      <c r="L727" s="388"/>
      <c r="M727" s="388"/>
      <c r="N727" s="388"/>
      <c r="O727" s="388"/>
      <c r="P727" s="388"/>
      <c r="Q727" s="388"/>
      <c r="R727" s="388"/>
      <c r="S727" s="388"/>
      <c r="T727" s="388"/>
      <c r="U727" s="388"/>
      <c r="V727" s="388"/>
      <c r="W727" s="388"/>
      <c r="X727" s="388"/>
      <c r="Y727" s="388"/>
      <c r="Z727" s="388"/>
      <c r="AA727" s="388"/>
      <c r="AB727" s="388"/>
      <c r="AC727" s="388"/>
      <c r="AD727" s="388"/>
      <c r="AE727" s="388"/>
      <c r="AF727" s="388"/>
      <c r="AG727" s="388"/>
      <c r="AH727" s="388"/>
      <c r="AI727" s="388"/>
      <c r="AJ727" s="388"/>
      <c r="AK727" s="388"/>
      <c r="AL727" s="388"/>
      <c r="AM727" s="388"/>
      <c r="AN727" s="377" t="s">
        <v>881</v>
      </c>
      <c r="AO727" s="378"/>
      <c r="AP727" s="378"/>
      <c r="AQ727" s="378"/>
      <c r="AR727" s="378"/>
      <c r="AS727" s="379"/>
      <c r="AW727" s="35"/>
      <c r="AX727" s="35"/>
    </row>
    <row r="728" spans="1:50" ht="14.25" customHeight="1" x14ac:dyDescent="0.2">
      <c r="A728" s="30"/>
      <c r="B728" s="30"/>
      <c r="C728" s="388" t="s">
        <v>830</v>
      </c>
      <c r="D728" s="388"/>
      <c r="E728" s="388"/>
      <c r="F728" s="388"/>
      <c r="G728" s="388"/>
      <c r="H728" s="388"/>
      <c r="I728" s="388"/>
      <c r="J728" s="388"/>
      <c r="K728" s="388"/>
      <c r="L728" s="388"/>
      <c r="M728" s="388"/>
      <c r="N728" s="388"/>
      <c r="O728" s="388"/>
      <c r="P728" s="388"/>
      <c r="Q728" s="388"/>
      <c r="R728" s="388"/>
      <c r="S728" s="388"/>
      <c r="T728" s="388"/>
      <c r="U728" s="388"/>
      <c r="V728" s="388"/>
      <c r="W728" s="388"/>
      <c r="X728" s="388"/>
      <c r="Y728" s="388"/>
      <c r="Z728" s="388"/>
      <c r="AA728" s="388"/>
      <c r="AB728" s="388"/>
      <c r="AC728" s="388"/>
      <c r="AD728" s="388"/>
      <c r="AE728" s="388"/>
      <c r="AF728" s="388"/>
      <c r="AG728" s="388"/>
      <c r="AH728" s="388"/>
      <c r="AI728" s="388"/>
      <c r="AJ728" s="388"/>
      <c r="AK728" s="388"/>
      <c r="AL728" s="388"/>
      <c r="AM728" s="388"/>
      <c r="AN728" s="377" t="s">
        <v>881</v>
      </c>
      <c r="AO728" s="378"/>
      <c r="AP728" s="378"/>
      <c r="AQ728" s="378"/>
      <c r="AR728" s="378"/>
      <c r="AS728" s="379"/>
      <c r="AW728" s="35"/>
      <c r="AX728" s="35"/>
    </row>
    <row r="729" spans="1:50" ht="14.25" customHeight="1" x14ac:dyDescent="0.2">
      <c r="A729" s="30"/>
      <c r="B729" s="30"/>
      <c r="C729" s="388" t="s">
        <v>831</v>
      </c>
      <c r="D729" s="388"/>
      <c r="E729" s="388"/>
      <c r="F729" s="388"/>
      <c r="G729" s="388"/>
      <c r="H729" s="388"/>
      <c r="I729" s="388"/>
      <c r="J729" s="388"/>
      <c r="K729" s="388"/>
      <c r="L729" s="388"/>
      <c r="M729" s="388"/>
      <c r="N729" s="388"/>
      <c r="O729" s="388"/>
      <c r="P729" s="388"/>
      <c r="Q729" s="388"/>
      <c r="R729" s="388"/>
      <c r="S729" s="388"/>
      <c r="T729" s="388"/>
      <c r="U729" s="388"/>
      <c r="V729" s="388"/>
      <c r="W729" s="388"/>
      <c r="X729" s="388"/>
      <c r="Y729" s="388"/>
      <c r="Z729" s="388"/>
      <c r="AA729" s="388"/>
      <c r="AB729" s="388"/>
      <c r="AC729" s="388"/>
      <c r="AD729" s="388"/>
      <c r="AE729" s="388"/>
      <c r="AF729" s="388"/>
      <c r="AG729" s="388"/>
      <c r="AH729" s="388"/>
      <c r="AI729" s="388"/>
      <c r="AJ729" s="388"/>
      <c r="AK729" s="388"/>
      <c r="AL729" s="388"/>
      <c r="AM729" s="388"/>
      <c r="AN729" s="377" t="s">
        <v>881</v>
      </c>
      <c r="AO729" s="378"/>
      <c r="AP729" s="378"/>
      <c r="AQ729" s="378"/>
      <c r="AR729" s="378"/>
      <c r="AS729" s="379"/>
      <c r="AW729" s="35"/>
      <c r="AX729" s="35"/>
    </row>
    <row r="730" spans="1:50" ht="14.25" customHeight="1" x14ac:dyDescent="0.2">
      <c r="A730" s="30"/>
      <c r="B730" s="30"/>
      <c r="C730" s="388" t="s">
        <v>832</v>
      </c>
      <c r="D730" s="388"/>
      <c r="E730" s="388"/>
      <c r="F730" s="388"/>
      <c r="G730" s="388"/>
      <c r="H730" s="388"/>
      <c r="I730" s="388"/>
      <c r="J730" s="388"/>
      <c r="K730" s="388"/>
      <c r="L730" s="388"/>
      <c r="M730" s="388"/>
      <c r="N730" s="388"/>
      <c r="O730" s="388"/>
      <c r="P730" s="388"/>
      <c r="Q730" s="388"/>
      <c r="R730" s="388"/>
      <c r="S730" s="388"/>
      <c r="T730" s="388"/>
      <c r="U730" s="388"/>
      <c r="V730" s="388"/>
      <c r="W730" s="388"/>
      <c r="X730" s="388"/>
      <c r="Y730" s="388"/>
      <c r="Z730" s="388"/>
      <c r="AA730" s="388"/>
      <c r="AB730" s="388"/>
      <c r="AC730" s="388"/>
      <c r="AD730" s="388"/>
      <c r="AE730" s="388"/>
      <c r="AF730" s="388"/>
      <c r="AG730" s="388"/>
      <c r="AH730" s="388"/>
      <c r="AI730" s="388"/>
      <c r="AJ730" s="388"/>
      <c r="AK730" s="388"/>
      <c r="AL730" s="388"/>
      <c r="AM730" s="388"/>
      <c r="AN730" s="377" t="s">
        <v>881</v>
      </c>
      <c r="AO730" s="378"/>
      <c r="AP730" s="378"/>
      <c r="AQ730" s="378"/>
      <c r="AR730" s="378"/>
      <c r="AS730" s="379"/>
      <c r="AW730" s="35"/>
      <c r="AX730" s="35"/>
    </row>
    <row r="731" spans="1:50" ht="14.25" customHeight="1" x14ac:dyDescent="0.2">
      <c r="A731" s="30"/>
      <c r="B731" s="30"/>
      <c r="C731" s="388" t="s">
        <v>833</v>
      </c>
      <c r="D731" s="388"/>
      <c r="E731" s="388"/>
      <c r="F731" s="388"/>
      <c r="G731" s="388"/>
      <c r="H731" s="388"/>
      <c r="I731" s="388"/>
      <c r="J731" s="388"/>
      <c r="K731" s="388"/>
      <c r="L731" s="388"/>
      <c r="M731" s="388"/>
      <c r="N731" s="388"/>
      <c r="O731" s="388"/>
      <c r="P731" s="388"/>
      <c r="Q731" s="388"/>
      <c r="R731" s="388"/>
      <c r="S731" s="388"/>
      <c r="T731" s="388"/>
      <c r="U731" s="388"/>
      <c r="V731" s="388"/>
      <c r="W731" s="388"/>
      <c r="X731" s="388"/>
      <c r="Y731" s="388"/>
      <c r="Z731" s="388"/>
      <c r="AA731" s="388"/>
      <c r="AB731" s="388"/>
      <c r="AC731" s="388"/>
      <c r="AD731" s="388"/>
      <c r="AE731" s="388"/>
      <c r="AF731" s="388"/>
      <c r="AG731" s="388"/>
      <c r="AH731" s="388"/>
      <c r="AI731" s="388"/>
      <c r="AJ731" s="388"/>
      <c r="AK731" s="388"/>
      <c r="AL731" s="388"/>
      <c r="AM731" s="388"/>
      <c r="AN731" s="377" t="s">
        <v>881</v>
      </c>
      <c r="AO731" s="378"/>
      <c r="AP731" s="378"/>
      <c r="AQ731" s="378"/>
      <c r="AR731" s="378"/>
      <c r="AS731" s="379"/>
      <c r="AW731" s="35"/>
      <c r="AX731" s="35"/>
    </row>
    <row r="732" spans="1:50" ht="14.25" customHeight="1" x14ac:dyDescent="0.2">
      <c r="A732" s="30"/>
      <c r="B732" s="30"/>
      <c r="C732" s="388" t="s">
        <v>834</v>
      </c>
      <c r="D732" s="388"/>
      <c r="E732" s="388"/>
      <c r="F732" s="388"/>
      <c r="G732" s="388"/>
      <c r="H732" s="388"/>
      <c r="I732" s="388"/>
      <c r="J732" s="388"/>
      <c r="K732" s="388"/>
      <c r="L732" s="388"/>
      <c r="M732" s="388"/>
      <c r="N732" s="388"/>
      <c r="O732" s="388"/>
      <c r="P732" s="388"/>
      <c r="Q732" s="388"/>
      <c r="R732" s="388"/>
      <c r="S732" s="388"/>
      <c r="T732" s="388"/>
      <c r="U732" s="388"/>
      <c r="V732" s="388"/>
      <c r="W732" s="388"/>
      <c r="X732" s="388"/>
      <c r="Y732" s="388"/>
      <c r="Z732" s="388"/>
      <c r="AA732" s="388"/>
      <c r="AB732" s="388"/>
      <c r="AC732" s="388"/>
      <c r="AD732" s="388"/>
      <c r="AE732" s="388"/>
      <c r="AF732" s="388"/>
      <c r="AG732" s="388"/>
      <c r="AH732" s="388"/>
      <c r="AI732" s="388"/>
      <c r="AJ732" s="388"/>
      <c r="AK732" s="388"/>
      <c r="AL732" s="388"/>
      <c r="AM732" s="388"/>
      <c r="AN732" s="377" t="s">
        <v>881</v>
      </c>
      <c r="AO732" s="378"/>
      <c r="AP732" s="378"/>
      <c r="AQ732" s="378"/>
      <c r="AR732" s="378"/>
      <c r="AS732" s="379"/>
      <c r="AW732" s="35"/>
      <c r="AX732" s="35"/>
    </row>
    <row r="733" spans="1:50" ht="14.25" customHeight="1" x14ac:dyDescent="0.2">
      <c r="A733" s="30"/>
      <c r="B733" s="30"/>
      <c r="C733" s="390"/>
      <c r="D733" s="390"/>
      <c r="E733" s="390"/>
      <c r="F733" s="390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0"/>
      <c r="AG733" s="390"/>
      <c r="AH733" s="83"/>
      <c r="AI733" s="55"/>
      <c r="AJ733" s="55"/>
      <c r="AK733" s="83"/>
      <c r="AL733" s="55"/>
      <c r="AM733" s="55"/>
      <c r="AN733" s="402"/>
      <c r="AO733" s="402"/>
      <c r="AP733" s="402"/>
      <c r="AQ733" s="402"/>
      <c r="AR733" s="402"/>
      <c r="AS733" s="402"/>
      <c r="AW733" s="35"/>
      <c r="AX733" s="35"/>
    </row>
    <row r="734" spans="1:50" ht="14.25" customHeight="1" x14ac:dyDescent="0.2">
      <c r="A734" s="30"/>
      <c r="B734" s="30"/>
      <c r="C734" s="391" t="s">
        <v>863</v>
      </c>
      <c r="D734" s="391"/>
      <c r="E734" s="391"/>
      <c r="F734" s="391"/>
      <c r="G734" s="391"/>
      <c r="H734" s="391"/>
      <c r="I734" s="391"/>
      <c r="J734" s="391"/>
      <c r="K734" s="391"/>
      <c r="L734" s="391"/>
      <c r="M734" s="391"/>
      <c r="N734" s="391"/>
      <c r="O734" s="391"/>
      <c r="P734" s="391"/>
      <c r="Q734" s="391"/>
      <c r="R734" s="391"/>
      <c r="S734" s="391"/>
      <c r="T734" s="391"/>
      <c r="U734" s="391"/>
      <c r="V734" s="391"/>
      <c r="W734" s="391"/>
      <c r="X734" s="391"/>
      <c r="Y734" s="391"/>
      <c r="Z734" s="391"/>
      <c r="AA734" s="391"/>
      <c r="AB734" s="391"/>
      <c r="AC734" s="391"/>
      <c r="AD734" s="391"/>
      <c r="AE734" s="391"/>
      <c r="AF734" s="391"/>
      <c r="AG734" s="391"/>
      <c r="AH734" s="345" t="s">
        <v>907</v>
      </c>
      <c r="AI734" s="345"/>
      <c r="AJ734" s="345"/>
      <c r="AK734" s="345"/>
      <c r="AL734" s="345"/>
      <c r="AM734" s="345"/>
      <c r="AN734" s="345" t="s">
        <v>907</v>
      </c>
      <c r="AO734" s="345"/>
      <c r="AP734" s="345"/>
      <c r="AQ734" s="345"/>
      <c r="AR734" s="345"/>
      <c r="AS734" s="345"/>
      <c r="AW734" s="35"/>
      <c r="AX734" s="35"/>
    </row>
    <row r="735" spans="1:50" ht="14.25" customHeight="1" x14ac:dyDescent="0.2">
      <c r="A735" s="30"/>
      <c r="B735" s="30"/>
      <c r="C735" s="403"/>
      <c r="D735" s="403"/>
      <c r="E735" s="403"/>
      <c r="F735" s="403"/>
      <c r="G735" s="403"/>
      <c r="H735" s="403"/>
      <c r="I735" s="403"/>
      <c r="J735" s="403"/>
      <c r="K735" s="403"/>
      <c r="L735" s="403"/>
      <c r="M735" s="403"/>
      <c r="N735" s="403"/>
      <c r="O735" s="403"/>
      <c r="P735" s="403"/>
      <c r="Q735" s="403"/>
      <c r="R735" s="403"/>
      <c r="S735" s="403"/>
      <c r="T735" s="403"/>
      <c r="U735" s="403"/>
      <c r="V735" s="403"/>
      <c r="W735" s="403"/>
      <c r="X735" s="403"/>
      <c r="Y735" s="403"/>
      <c r="Z735" s="403"/>
      <c r="AA735" s="403"/>
      <c r="AB735" s="403"/>
      <c r="AC735" s="403"/>
      <c r="AD735" s="403"/>
      <c r="AE735" s="403"/>
      <c r="AF735" s="403"/>
      <c r="AG735" s="403"/>
      <c r="AH735" s="391" t="s">
        <v>815</v>
      </c>
      <c r="AI735" s="391"/>
      <c r="AJ735" s="391"/>
      <c r="AK735" s="391"/>
      <c r="AL735" s="391"/>
      <c r="AM735" s="391"/>
      <c r="AN735" s="391" t="s">
        <v>816</v>
      </c>
      <c r="AO735" s="391"/>
      <c r="AP735" s="391"/>
      <c r="AQ735" s="391"/>
      <c r="AR735" s="391"/>
      <c r="AS735" s="391"/>
      <c r="AW735" s="35"/>
      <c r="AX735" s="35"/>
    </row>
    <row r="736" spans="1:50" ht="14.25" customHeight="1" x14ac:dyDescent="0.2">
      <c r="A736" s="30"/>
      <c r="B736" s="30"/>
      <c r="C736" s="388" t="s">
        <v>835</v>
      </c>
      <c r="D736" s="388"/>
      <c r="E736" s="388"/>
      <c r="F736" s="388"/>
      <c r="G736" s="388"/>
      <c r="H736" s="388"/>
      <c r="I736" s="388"/>
      <c r="J736" s="388"/>
      <c r="K736" s="388"/>
      <c r="L736" s="388"/>
      <c r="M736" s="388"/>
      <c r="N736" s="388"/>
      <c r="O736" s="388"/>
      <c r="P736" s="388"/>
      <c r="Q736" s="388"/>
      <c r="R736" s="388"/>
      <c r="S736" s="388"/>
      <c r="T736" s="388"/>
      <c r="U736" s="388"/>
      <c r="V736" s="388"/>
      <c r="W736" s="388"/>
      <c r="X736" s="388"/>
      <c r="Y736" s="388"/>
      <c r="Z736" s="388"/>
      <c r="AA736" s="388"/>
      <c r="AB736" s="388"/>
      <c r="AC736" s="388"/>
      <c r="AD736" s="388"/>
      <c r="AE736" s="388"/>
      <c r="AF736" s="388"/>
      <c r="AG736" s="388"/>
      <c r="AH736" s="377" t="s">
        <v>881</v>
      </c>
      <c r="AI736" s="378"/>
      <c r="AJ736" s="378"/>
      <c r="AK736" s="378"/>
      <c r="AL736" s="378"/>
      <c r="AM736" s="379"/>
      <c r="AN736" s="377" t="s">
        <v>881</v>
      </c>
      <c r="AO736" s="378"/>
      <c r="AP736" s="378"/>
      <c r="AQ736" s="378"/>
      <c r="AR736" s="378"/>
      <c r="AS736" s="379"/>
      <c r="AW736" s="35"/>
      <c r="AX736" s="35"/>
    </row>
    <row r="737" spans="1:50" ht="14.25" customHeight="1" x14ac:dyDescent="0.2">
      <c r="A737" s="30"/>
      <c r="B737" s="30"/>
      <c r="C737" s="388" t="s">
        <v>836</v>
      </c>
      <c r="D737" s="388"/>
      <c r="E737" s="388"/>
      <c r="F737" s="388"/>
      <c r="G737" s="388"/>
      <c r="H737" s="388"/>
      <c r="I737" s="388"/>
      <c r="J737" s="388"/>
      <c r="K737" s="388"/>
      <c r="L737" s="388"/>
      <c r="M737" s="388"/>
      <c r="N737" s="388"/>
      <c r="O737" s="388"/>
      <c r="P737" s="388"/>
      <c r="Q737" s="388"/>
      <c r="R737" s="388"/>
      <c r="S737" s="388"/>
      <c r="T737" s="388"/>
      <c r="U737" s="388"/>
      <c r="V737" s="388"/>
      <c r="W737" s="388"/>
      <c r="X737" s="388"/>
      <c r="Y737" s="388"/>
      <c r="Z737" s="388"/>
      <c r="AA737" s="388"/>
      <c r="AB737" s="388"/>
      <c r="AC737" s="388"/>
      <c r="AD737" s="388"/>
      <c r="AE737" s="388"/>
      <c r="AF737" s="388"/>
      <c r="AG737" s="388"/>
      <c r="AH737" s="377" t="s">
        <v>881</v>
      </c>
      <c r="AI737" s="378"/>
      <c r="AJ737" s="378"/>
      <c r="AK737" s="378"/>
      <c r="AL737" s="378"/>
      <c r="AM737" s="379"/>
      <c r="AN737" s="377" t="s">
        <v>881</v>
      </c>
      <c r="AO737" s="378"/>
      <c r="AP737" s="378"/>
      <c r="AQ737" s="378"/>
      <c r="AR737" s="378"/>
      <c r="AS737" s="379"/>
      <c r="AW737" s="35"/>
      <c r="AX737" s="35"/>
    </row>
    <row r="738" spans="1:50" ht="14.25" customHeight="1" x14ac:dyDescent="0.2">
      <c r="A738" s="30"/>
      <c r="B738" s="30"/>
      <c r="C738" s="388" t="s">
        <v>837</v>
      </c>
      <c r="D738" s="388"/>
      <c r="E738" s="388"/>
      <c r="F738" s="388"/>
      <c r="G738" s="388"/>
      <c r="H738" s="388"/>
      <c r="I738" s="388"/>
      <c r="J738" s="388"/>
      <c r="K738" s="388"/>
      <c r="L738" s="388"/>
      <c r="M738" s="388"/>
      <c r="N738" s="388"/>
      <c r="O738" s="388"/>
      <c r="P738" s="388"/>
      <c r="Q738" s="388"/>
      <c r="R738" s="388"/>
      <c r="S738" s="388"/>
      <c r="T738" s="388"/>
      <c r="U738" s="388"/>
      <c r="V738" s="388"/>
      <c r="W738" s="388"/>
      <c r="X738" s="388"/>
      <c r="Y738" s="388"/>
      <c r="Z738" s="388"/>
      <c r="AA738" s="388"/>
      <c r="AB738" s="388"/>
      <c r="AC738" s="388"/>
      <c r="AD738" s="388"/>
      <c r="AE738" s="388"/>
      <c r="AF738" s="388"/>
      <c r="AG738" s="388"/>
      <c r="AH738" s="377" t="s">
        <v>881</v>
      </c>
      <c r="AI738" s="378"/>
      <c r="AJ738" s="378"/>
      <c r="AK738" s="378"/>
      <c r="AL738" s="378"/>
      <c r="AM738" s="379"/>
      <c r="AN738" s="377" t="s">
        <v>881</v>
      </c>
      <c r="AO738" s="378"/>
      <c r="AP738" s="378"/>
      <c r="AQ738" s="378"/>
      <c r="AR738" s="378"/>
      <c r="AS738" s="379"/>
      <c r="AW738" s="35"/>
      <c r="AX738" s="35"/>
    </row>
    <row r="739" spans="1:50" ht="14.25" customHeight="1" x14ac:dyDescent="0.2">
      <c r="A739" s="30"/>
      <c r="B739" s="30"/>
      <c r="C739" s="388" t="s">
        <v>838</v>
      </c>
      <c r="D739" s="388"/>
      <c r="E739" s="388"/>
      <c r="F739" s="388"/>
      <c r="G739" s="388"/>
      <c r="H739" s="388"/>
      <c r="I739" s="388"/>
      <c r="J739" s="388"/>
      <c r="K739" s="388"/>
      <c r="L739" s="388"/>
      <c r="M739" s="388"/>
      <c r="N739" s="388"/>
      <c r="O739" s="388"/>
      <c r="P739" s="388"/>
      <c r="Q739" s="388"/>
      <c r="R739" s="388"/>
      <c r="S739" s="388"/>
      <c r="T739" s="388"/>
      <c r="U739" s="388"/>
      <c r="V739" s="388"/>
      <c r="W739" s="388"/>
      <c r="X739" s="388"/>
      <c r="Y739" s="388"/>
      <c r="Z739" s="388"/>
      <c r="AA739" s="388"/>
      <c r="AB739" s="388"/>
      <c r="AC739" s="388"/>
      <c r="AD739" s="388"/>
      <c r="AE739" s="388"/>
      <c r="AF739" s="388"/>
      <c r="AG739" s="388"/>
      <c r="AH739" s="377" t="s">
        <v>881</v>
      </c>
      <c r="AI739" s="378"/>
      <c r="AJ739" s="378"/>
      <c r="AK739" s="378"/>
      <c r="AL739" s="378"/>
      <c r="AM739" s="379"/>
      <c r="AN739" s="377" t="s">
        <v>881</v>
      </c>
      <c r="AO739" s="378"/>
      <c r="AP739" s="378"/>
      <c r="AQ739" s="378"/>
      <c r="AR739" s="378"/>
      <c r="AS739" s="379"/>
      <c r="AW739" s="35"/>
      <c r="AX739" s="35"/>
    </row>
    <row r="740" spans="1:50" ht="14.25" customHeight="1" x14ac:dyDescent="0.2">
      <c r="A740" s="30"/>
      <c r="B740" s="30"/>
      <c r="C740" s="388" t="s">
        <v>839</v>
      </c>
      <c r="D740" s="388"/>
      <c r="E740" s="388"/>
      <c r="F740" s="388"/>
      <c r="G740" s="388"/>
      <c r="H740" s="388"/>
      <c r="I740" s="388"/>
      <c r="J740" s="388"/>
      <c r="K740" s="388"/>
      <c r="L740" s="388"/>
      <c r="M740" s="388"/>
      <c r="N740" s="388"/>
      <c r="O740" s="388"/>
      <c r="P740" s="388"/>
      <c r="Q740" s="388"/>
      <c r="R740" s="388"/>
      <c r="S740" s="388"/>
      <c r="T740" s="388"/>
      <c r="U740" s="388"/>
      <c r="V740" s="388"/>
      <c r="W740" s="388"/>
      <c r="X740" s="388"/>
      <c r="Y740" s="388"/>
      <c r="Z740" s="388"/>
      <c r="AA740" s="388"/>
      <c r="AB740" s="388"/>
      <c r="AC740" s="388"/>
      <c r="AD740" s="388"/>
      <c r="AE740" s="388"/>
      <c r="AF740" s="388"/>
      <c r="AG740" s="388"/>
      <c r="AH740" s="377" t="s">
        <v>881</v>
      </c>
      <c r="AI740" s="378"/>
      <c r="AJ740" s="378"/>
      <c r="AK740" s="378"/>
      <c r="AL740" s="378"/>
      <c r="AM740" s="379"/>
      <c r="AN740" s="377" t="s">
        <v>881</v>
      </c>
      <c r="AO740" s="378"/>
      <c r="AP740" s="378"/>
      <c r="AQ740" s="378"/>
      <c r="AR740" s="378"/>
      <c r="AS740" s="379"/>
      <c r="AW740" s="35"/>
      <c r="AX740" s="35"/>
    </row>
    <row r="741" spans="1:50" ht="14.25" customHeight="1" x14ac:dyDescent="0.2">
      <c r="A741" s="30"/>
      <c r="B741" s="30"/>
      <c r="C741" s="388" t="s">
        <v>840</v>
      </c>
      <c r="D741" s="388"/>
      <c r="E741" s="388"/>
      <c r="F741" s="388"/>
      <c r="G741" s="388"/>
      <c r="H741" s="388"/>
      <c r="I741" s="388"/>
      <c r="J741" s="388"/>
      <c r="K741" s="388"/>
      <c r="L741" s="388"/>
      <c r="M741" s="388"/>
      <c r="N741" s="388"/>
      <c r="O741" s="388"/>
      <c r="P741" s="388"/>
      <c r="Q741" s="388"/>
      <c r="R741" s="388"/>
      <c r="S741" s="388"/>
      <c r="T741" s="388"/>
      <c r="U741" s="388"/>
      <c r="V741" s="388"/>
      <c r="W741" s="388"/>
      <c r="X741" s="388"/>
      <c r="Y741" s="388"/>
      <c r="Z741" s="388"/>
      <c r="AA741" s="388"/>
      <c r="AB741" s="388"/>
      <c r="AC741" s="388"/>
      <c r="AD741" s="388"/>
      <c r="AE741" s="388"/>
      <c r="AF741" s="388"/>
      <c r="AG741" s="388"/>
      <c r="AH741" s="377" t="s">
        <v>881</v>
      </c>
      <c r="AI741" s="378"/>
      <c r="AJ741" s="378"/>
      <c r="AK741" s="378"/>
      <c r="AL741" s="378"/>
      <c r="AM741" s="379"/>
      <c r="AN741" s="377" t="s">
        <v>881</v>
      </c>
      <c r="AO741" s="378"/>
      <c r="AP741" s="378"/>
      <c r="AQ741" s="378"/>
      <c r="AR741" s="378"/>
      <c r="AS741" s="379"/>
      <c r="AW741" s="35"/>
      <c r="AX741" s="35"/>
    </row>
    <row r="742" spans="1:50" ht="14.25" customHeight="1" x14ac:dyDescent="0.2">
      <c r="A742" s="30"/>
      <c r="B742" s="30"/>
      <c r="C742" s="388" t="s">
        <v>841</v>
      </c>
      <c r="D742" s="388"/>
      <c r="E742" s="388"/>
      <c r="F742" s="388"/>
      <c r="G742" s="388"/>
      <c r="H742" s="388"/>
      <c r="I742" s="388"/>
      <c r="J742" s="388"/>
      <c r="K742" s="388"/>
      <c r="L742" s="388"/>
      <c r="M742" s="388"/>
      <c r="N742" s="388"/>
      <c r="O742" s="388"/>
      <c r="P742" s="388"/>
      <c r="Q742" s="388"/>
      <c r="R742" s="388"/>
      <c r="S742" s="388"/>
      <c r="T742" s="388"/>
      <c r="U742" s="388"/>
      <c r="V742" s="388"/>
      <c r="W742" s="388"/>
      <c r="X742" s="388"/>
      <c r="Y742" s="388"/>
      <c r="Z742" s="388"/>
      <c r="AA742" s="388"/>
      <c r="AB742" s="388"/>
      <c r="AC742" s="388"/>
      <c r="AD742" s="388"/>
      <c r="AE742" s="388"/>
      <c r="AF742" s="388"/>
      <c r="AG742" s="388"/>
      <c r="AH742" s="377" t="s">
        <v>881</v>
      </c>
      <c r="AI742" s="378"/>
      <c r="AJ742" s="378"/>
      <c r="AK742" s="378"/>
      <c r="AL742" s="378"/>
      <c r="AM742" s="379"/>
      <c r="AN742" s="377" t="s">
        <v>881</v>
      </c>
      <c r="AO742" s="378"/>
      <c r="AP742" s="378"/>
      <c r="AQ742" s="378"/>
      <c r="AR742" s="378"/>
      <c r="AS742" s="379"/>
      <c r="AW742" s="35"/>
      <c r="AX742" s="35"/>
    </row>
    <row r="743" spans="1:50" ht="14.25" customHeight="1" x14ac:dyDescent="0.2">
      <c r="A743" s="30"/>
      <c r="B743" s="30"/>
      <c r="C743" s="388" t="s">
        <v>842</v>
      </c>
      <c r="D743" s="388"/>
      <c r="E743" s="388"/>
      <c r="F743" s="388"/>
      <c r="G743" s="388"/>
      <c r="H743" s="388"/>
      <c r="I743" s="388"/>
      <c r="J743" s="388"/>
      <c r="K743" s="388"/>
      <c r="L743" s="388"/>
      <c r="M743" s="388"/>
      <c r="N743" s="388"/>
      <c r="O743" s="388"/>
      <c r="P743" s="388"/>
      <c r="Q743" s="388"/>
      <c r="R743" s="388"/>
      <c r="S743" s="388"/>
      <c r="T743" s="388"/>
      <c r="U743" s="388"/>
      <c r="V743" s="388"/>
      <c r="W743" s="388"/>
      <c r="X743" s="388"/>
      <c r="Y743" s="388"/>
      <c r="Z743" s="388"/>
      <c r="AA743" s="388"/>
      <c r="AB743" s="388"/>
      <c r="AC743" s="388"/>
      <c r="AD743" s="388"/>
      <c r="AE743" s="388"/>
      <c r="AF743" s="388"/>
      <c r="AG743" s="388"/>
      <c r="AH743" s="377" t="s">
        <v>881</v>
      </c>
      <c r="AI743" s="378"/>
      <c r="AJ743" s="378"/>
      <c r="AK743" s="378"/>
      <c r="AL743" s="378"/>
      <c r="AM743" s="379"/>
      <c r="AN743" s="377" t="s">
        <v>881</v>
      </c>
      <c r="AO743" s="378"/>
      <c r="AP743" s="378"/>
      <c r="AQ743" s="378"/>
      <c r="AR743" s="378"/>
      <c r="AS743" s="379"/>
      <c r="AW743" s="35"/>
      <c r="AX743" s="35"/>
    </row>
    <row r="744" spans="1:50" ht="14.25" customHeight="1" x14ac:dyDescent="0.25">
      <c r="C744" s="122"/>
      <c r="D744" s="122"/>
      <c r="E744" s="122"/>
      <c r="F744" s="122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83"/>
      <c r="T744" s="55"/>
      <c r="U744" s="55"/>
      <c r="V744" s="83"/>
      <c r="W744" s="55"/>
      <c r="X744" s="55"/>
      <c r="Y744" s="83"/>
      <c r="Z744" s="55"/>
      <c r="AA744" s="55"/>
      <c r="AB744" s="83"/>
      <c r="AC744" s="55"/>
      <c r="AD744" s="55"/>
      <c r="AE744" s="83"/>
      <c r="AF744" s="55"/>
      <c r="AG744" s="55"/>
      <c r="AH744" s="83"/>
      <c r="AI744" s="55"/>
      <c r="AJ744" s="55"/>
      <c r="AK744" s="83"/>
      <c r="AL744" s="55"/>
      <c r="AM744" s="55"/>
      <c r="AN744" s="83"/>
      <c r="AO744" s="55"/>
      <c r="AP744" s="55"/>
      <c r="AQ744" s="83"/>
      <c r="AR744" s="55"/>
      <c r="AS744" s="55"/>
      <c r="AW744" s="35"/>
      <c r="AX744" s="35"/>
    </row>
    <row r="745" spans="1:50" ht="16.5" customHeight="1" x14ac:dyDescent="0.25">
      <c r="A745" s="26"/>
      <c r="B745" s="26"/>
      <c r="C745" s="392" t="s">
        <v>866</v>
      </c>
      <c r="D745" s="393"/>
      <c r="E745" s="393"/>
      <c r="F745" s="393"/>
      <c r="G745" s="393"/>
      <c r="H745" s="393"/>
      <c r="I745" s="393"/>
      <c r="J745" s="393"/>
      <c r="K745" s="393"/>
      <c r="L745" s="393"/>
      <c r="M745" s="393"/>
      <c r="N745" s="393"/>
      <c r="O745" s="393"/>
      <c r="P745" s="393"/>
      <c r="Q745" s="393"/>
      <c r="R745" s="393"/>
      <c r="S745" s="393"/>
      <c r="T745" s="393"/>
      <c r="U745" s="393"/>
      <c r="V745" s="393"/>
      <c r="W745" s="393"/>
      <c r="X745" s="393"/>
      <c r="Y745" s="393"/>
      <c r="Z745" s="393"/>
      <c r="AA745" s="393"/>
      <c r="AB745" s="393"/>
      <c r="AC745" s="393"/>
      <c r="AD745" s="393"/>
      <c r="AE745" s="393"/>
      <c r="AF745" s="393"/>
      <c r="AG745" s="393"/>
      <c r="AH745" s="393"/>
      <c r="AI745" s="393"/>
      <c r="AJ745" s="393"/>
      <c r="AK745" s="393"/>
      <c r="AL745" s="393"/>
      <c r="AM745" s="393"/>
      <c r="AN745" s="393"/>
      <c r="AO745" s="393"/>
      <c r="AP745" s="393"/>
      <c r="AQ745" s="393"/>
      <c r="AR745" s="393"/>
      <c r="AS745" s="393"/>
      <c r="AW745" s="35"/>
      <c r="AX745" s="35"/>
    </row>
    <row r="746" spans="1:50" ht="15" customHeight="1" x14ac:dyDescent="0.25">
      <c r="C746" s="389" t="s">
        <v>80</v>
      </c>
      <c r="D746" s="389"/>
      <c r="E746" s="389"/>
      <c r="F746" s="389"/>
      <c r="G746" s="389"/>
      <c r="H746" s="389"/>
      <c r="I746" s="389"/>
      <c r="J746" s="389"/>
      <c r="K746" s="389"/>
      <c r="L746" s="389"/>
      <c r="M746" s="389"/>
      <c r="N746" s="389"/>
      <c r="O746" s="389"/>
      <c r="P746" s="389"/>
      <c r="Q746" s="389"/>
      <c r="R746" s="389"/>
      <c r="S746" s="389"/>
      <c r="T746" s="389"/>
      <c r="U746" s="389"/>
      <c r="V746" s="389"/>
      <c r="W746" s="389"/>
      <c r="X746" s="389"/>
      <c r="Y746" s="389"/>
      <c r="Z746" s="389"/>
      <c r="AA746" s="389"/>
      <c r="AB746" s="389"/>
      <c r="AC746" s="389"/>
      <c r="AD746" s="389"/>
      <c r="AE746" s="389"/>
      <c r="AF746" s="389"/>
      <c r="AG746" s="389"/>
      <c r="AH746" s="389"/>
      <c r="AI746" s="389"/>
      <c r="AJ746" s="389"/>
      <c r="AK746" s="389"/>
      <c r="AL746" s="389"/>
      <c r="AM746" s="389"/>
      <c r="AN746" s="345" t="s">
        <v>907</v>
      </c>
      <c r="AO746" s="345"/>
      <c r="AP746" s="345"/>
      <c r="AQ746" s="345"/>
      <c r="AR746" s="345"/>
      <c r="AS746" s="345"/>
      <c r="AW746" s="35"/>
      <c r="AX746" s="35"/>
    </row>
    <row r="747" spans="1:50" s="35" customFormat="1" ht="14.25" customHeight="1" x14ac:dyDescent="0.25">
      <c r="A747" s="131"/>
      <c r="B747" s="131"/>
      <c r="C747" s="394" t="s">
        <v>843</v>
      </c>
      <c r="D747" s="394"/>
      <c r="E747" s="394"/>
      <c r="F747" s="394"/>
      <c r="G747" s="394"/>
      <c r="H747" s="394"/>
      <c r="I747" s="394"/>
      <c r="J747" s="394"/>
      <c r="K747" s="394"/>
      <c r="L747" s="394"/>
      <c r="M747" s="394"/>
      <c r="N747" s="394"/>
      <c r="O747" s="394"/>
      <c r="P747" s="394"/>
      <c r="Q747" s="394"/>
      <c r="R747" s="394"/>
      <c r="S747" s="394"/>
      <c r="T747" s="394"/>
      <c r="U747" s="394"/>
      <c r="V747" s="394"/>
      <c r="W747" s="394"/>
      <c r="X747" s="394"/>
      <c r="Y747" s="394"/>
      <c r="Z747" s="394"/>
      <c r="AA747" s="394"/>
      <c r="AB747" s="394"/>
      <c r="AC747" s="394"/>
      <c r="AD747" s="394"/>
      <c r="AE747" s="394"/>
      <c r="AF747" s="394"/>
      <c r="AG747" s="394"/>
      <c r="AH747" s="394"/>
      <c r="AI747" s="394"/>
      <c r="AJ747" s="394"/>
      <c r="AK747" s="394"/>
      <c r="AL747" s="394"/>
      <c r="AM747" s="394"/>
      <c r="AN747" s="377" t="s">
        <v>881</v>
      </c>
      <c r="AO747" s="378"/>
      <c r="AP747" s="378"/>
      <c r="AQ747" s="378"/>
      <c r="AR747" s="378"/>
      <c r="AS747" s="379"/>
    </row>
    <row r="748" spans="1:50" s="35" customFormat="1" ht="14.25" customHeight="1" x14ac:dyDescent="0.25">
      <c r="A748" s="131"/>
      <c r="B748" s="131"/>
      <c r="C748" s="395" t="s">
        <v>844</v>
      </c>
      <c r="D748" s="395"/>
      <c r="E748" s="395"/>
      <c r="F748" s="395"/>
      <c r="G748" s="395"/>
      <c r="H748" s="395"/>
      <c r="I748" s="395"/>
      <c r="J748" s="395"/>
      <c r="K748" s="395"/>
      <c r="L748" s="395"/>
      <c r="M748" s="395"/>
      <c r="N748" s="395"/>
      <c r="O748" s="395"/>
      <c r="P748" s="395"/>
      <c r="Q748" s="395"/>
      <c r="R748" s="395"/>
      <c r="S748" s="395"/>
      <c r="T748" s="395"/>
      <c r="U748" s="395"/>
      <c r="V748" s="395"/>
      <c r="W748" s="395"/>
      <c r="X748" s="395"/>
      <c r="Y748" s="395"/>
      <c r="Z748" s="395"/>
      <c r="AA748" s="395"/>
      <c r="AB748" s="395"/>
      <c r="AC748" s="395"/>
      <c r="AD748" s="395"/>
      <c r="AE748" s="395"/>
      <c r="AF748" s="395"/>
      <c r="AG748" s="395"/>
      <c r="AH748" s="395"/>
      <c r="AI748" s="395"/>
      <c r="AJ748" s="395"/>
      <c r="AK748" s="395"/>
      <c r="AL748" s="395"/>
      <c r="AM748" s="395"/>
      <c r="AN748" s="377" t="s">
        <v>881</v>
      </c>
      <c r="AO748" s="378"/>
      <c r="AP748" s="378"/>
      <c r="AQ748" s="378"/>
      <c r="AR748" s="378"/>
      <c r="AS748" s="379"/>
    </row>
    <row r="749" spans="1:50" s="35" customFormat="1" ht="14.25" customHeight="1" x14ac:dyDescent="0.25">
      <c r="A749" s="131"/>
      <c r="B749" s="131"/>
      <c r="C749" s="395" t="s">
        <v>845</v>
      </c>
      <c r="D749" s="395"/>
      <c r="E749" s="395"/>
      <c r="F749" s="395"/>
      <c r="G749" s="395"/>
      <c r="H749" s="395"/>
      <c r="I749" s="395"/>
      <c r="J749" s="395"/>
      <c r="K749" s="395"/>
      <c r="L749" s="395"/>
      <c r="M749" s="395"/>
      <c r="N749" s="395"/>
      <c r="O749" s="395"/>
      <c r="P749" s="395"/>
      <c r="Q749" s="395"/>
      <c r="R749" s="395"/>
      <c r="S749" s="395"/>
      <c r="T749" s="395"/>
      <c r="U749" s="395"/>
      <c r="V749" s="395"/>
      <c r="W749" s="395"/>
      <c r="X749" s="395"/>
      <c r="Y749" s="395"/>
      <c r="Z749" s="395"/>
      <c r="AA749" s="395"/>
      <c r="AB749" s="395"/>
      <c r="AC749" s="395"/>
      <c r="AD749" s="395"/>
      <c r="AE749" s="395"/>
      <c r="AF749" s="395"/>
      <c r="AG749" s="395"/>
      <c r="AH749" s="395"/>
      <c r="AI749" s="395"/>
      <c r="AJ749" s="395"/>
      <c r="AK749" s="395"/>
      <c r="AL749" s="395"/>
      <c r="AM749" s="395"/>
      <c r="AN749" s="377" t="s">
        <v>881</v>
      </c>
      <c r="AO749" s="378"/>
      <c r="AP749" s="378"/>
      <c r="AQ749" s="378"/>
      <c r="AR749" s="378"/>
      <c r="AS749" s="379"/>
    </row>
    <row r="750" spans="1:50" s="35" customFormat="1" ht="14.25" customHeight="1" x14ac:dyDescent="0.25">
      <c r="A750" s="131"/>
      <c r="B750" s="131"/>
      <c r="C750" s="395" t="s">
        <v>846</v>
      </c>
      <c r="D750" s="395"/>
      <c r="E750" s="395"/>
      <c r="F750" s="395"/>
      <c r="G750" s="395"/>
      <c r="H750" s="395"/>
      <c r="I750" s="395"/>
      <c r="J750" s="395"/>
      <c r="K750" s="395"/>
      <c r="L750" s="395"/>
      <c r="M750" s="395"/>
      <c r="N750" s="395"/>
      <c r="O750" s="395"/>
      <c r="P750" s="395"/>
      <c r="Q750" s="395"/>
      <c r="R750" s="395"/>
      <c r="S750" s="395"/>
      <c r="T750" s="395"/>
      <c r="U750" s="395"/>
      <c r="V750" s="395"/>
      <c r="W750" s="395"/>
      <c r="X750" s="395"/>
      <c r="Y750" s="395"/>
      <c r="Z750" s="395"/>
      <c r="AA750" s="395"/>
      <c r="AB750" s="395"/>
      <c r="AC750" s="395"/>
      <c r="AD750" s="395"/>
      <c r="AE750" s="395"/>
      <c r="AF750" s="395"/>
      <c r="AG750" s="395"/>
      <c r="AH750" s="395"/>
      <c r="AI750" s="395"/>
      <c r="AJ750" s="395"/>
      <c r="AK750" s="395"/>
      <c r="AL750" s="395"/>
      <c r="AM750" s="395"/>
      <c r="AN750" s="377" t="s">
        <v>881</v>
      </c>
      <c r="AO750" s="378"/>
      <c r="AP750" s="378"/>
      <c r="AQ750" s="378"/>
      <c r="AR750" s="378"/>
      <c r="AS750" s="379"/>
    </row>
    <row r="751" spans="1:50" s="35" customFormat="1" ht="14.25" customHeight="1" x14ac:dyDescent="0.25">
      <c r="A751" s="131"/>
      <c r="B751" s="131"/>
      <c r="C751" s="396" t="s">
        <v>847</v>
      </c>
      <c r="D751" s="396"/>
      <c r="E751" s="396"/>
      <c r="F751" s="396"/>
      <c r="G751" s="396"/>
      <c r="H751" s="396"/>
      <c r="I751" s="396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77" t="s">
        <v>881</v>
      </c>
      <c r="AO751" s="378"/>
      <c r="AP751" s="378"/>
      <c r="AQ751" s="378"/>
      <c r="AR751" s="378"/>
      <c r="AS751" s="379"/>
    </row>
    <row r="752" spans="1:50" s="35" customFormat="1" ht="14.25" customHeight="1" x14ac:dyDescent="0.25">
      <c r="A752" s="131"/>
      <c r="B752" s="131"/>
      <c r="C752" s="397"/>
      <c r="D752" s="397"/>
      <c r="E752" s="397"/>
      <c r="F752" s="397"/>
      <c r="G752" s="397"/>
      <c r="H752" s="397"/>
      <c r="I752" s="397"/>
      <c r="J752" s="397"/>
      <c r="K752" s="397"/>
      <c r="L752" s="397"/>
      <c r="M752" s="397"/>
      <c r="N752" s="397"/>
      <c r="O752" s="397"/>
      <c r="P752" s="397"/>
      <c r="Q752" s="397"/>
      <c r="R752" s="397"/>
      <c r="S752" s="397"/>
      <c r="T752" s="397"/>
      <c r="U752" s="397"/>
      <c r="V752" s="397"/>
      <c r="W752" s="397"/>
      <c r="X752" s="397"/>
      <c r="Y752" s="397"/>
      <c r="Z752" s="397"/>
      <c r="AA752" s="397"/>
      <c r="AB752" s="397"/>
      <c r="AC752" s="397"/>
      <c r="AD752" s="397"/>
      <c r="AE752" s="397"/>
      <c r="AF752" s="397"/>
      <c r="AG752" s="397"/>
      <c r="AH752" s="397"/>
      <c r="AI752" s="397"/>
      <c r="AJ752" s="397"/>
      <c r="AK752" s="397"/>
      <c r="AL752" s="397"/>
      <c r="AM752" s="397"/>
      <c r="AN752" s="398"/>
      <c r="AO752" s="398"/>
      <c r="AP752" s="398"/>
      <c r="AQ752" s="398"/>
      <c r="AR752" s="398"/>
      <c r="AS752" s="398"/>
    </row>
    <row r="753" spans="1:50" s="35" customFormat="1" ht="14.25" customHeight="1" x14ac:dyDescent="0.25">
      <c r="A753" s="131"/>
      <c r="B753" s="131"/>
      <c r="C753" s="394" t="s">
        <v>848</v>
      </c>
      <c r="D753" s="394"/>
      <c r="E753" s="394"/>
      <c r="F753" s="394"/>
      <c r="G753" s="394"/>
      <c r="H753" s="394"/>
      <c r="I753" s="394"/>
      <c r="J753" s="394"/>
      <c r="K753" s="394"/>
      <c r="L753" s="394"/>
      <c r="M753" s="394"/>
      <c r="N753" s="394"/>
      <c r="O753" s="394"/>
      <c r="P753" s="394"/>
      <c r="Q753" s="394"/>
      <c r="R753" s="394"/>
      <c r="S753" s="394"/>
      <c r="T753" s="394"/>
      <c r="U753" s="394"/>
      <c r="V753" s="394"/>
      <c r="W753" s="394"/>
      <c r="X753" s="394"/>
      <c r="Y753" s="394"/>
      <c r="Z753" s="394"/>
      <c r="AA753" s="394"/>
      <c r="AB753" s="394"/>
      <c r="AC753" s="394"/>
      <c r="AD753" s="394"/>
      <c r="AE753" s="394"/>
      <c r="AF753" s="394"/>
      <c r="AG753" s="394"/>
      <c r="AH753" s="394"/>
      <c r="AI753" s="394"/>
      <c r="AJ753" s="394"/>
      <c r="AK753" s="394"/>
      <c r="AL753" s="394"/>
      <c r="AM753" s="394"/>
      <c r="AN753" s="399" t="s">
        <v>881</v>
      </c>
      <c r="AO753" s="400"/>
      <c r="AP753" s="400"/>
      <c r="AQ753" s="400"/>
      <c r="AR753" s="400"/>
      <c r="AS753" s="401"/>
    </row>
    <row r="754" spans="1:50" s="35" customFormat="1" ht="14.25" customHeight="1" x14ac:dyDescent="0.25">
      <c r="A754" s="131"/>
      <c r="B754" s="131"/>
      <c r="C754" s="395" t="s">
        <v>844</v>
      </c>
      <c r="D754" s="395"/>
      <c r="E754" s="395"/>
      <c r="F754" s="395"/>
      <c r="G754" s="395"/>
      <c r="H754" s="395"/>
      <c r="I754" s="395"/>
      <c r="J754" s="395"/>
      <c r="K754" s="395"/>
      <c r="L754" s="395"/>
      <c r="M754" s="395"/>
      <c r="N754" s="395"/>
      <c r="O754" s="395"/>
      <c r="P754" s="395"/>
      <c r="Q754" s="395"/>
      <c r="R754" s="395"/>
      <c r="S754" s="395"/>
      <c r="T754" s="395"/>
      <c r="U754" s="395"/>
      <c r="V754" s="395"/>
      <c r="W754" s="395"/>
      <c r="X754" s="395"/>
      <c r="Y754" s="395"/>
      <c r="Z754" s="395"/>
      <c r="AA754" s="395"/>
      <c r="AB754" s="395"/>
      <c r="AC754" s="395"/>
      <c r="AD754" s="395"/>
      <c r="AE754" s="395"/>
      <c r="AF754" s="395"/>
      <c r="AG754" s="395"/>
      <c r="AH754" s="395"/>
      <c r="AI754" s="395"/>
      <c r="AJ754" s="395"/>
      <c r="AK754" s="395"/>
      <c r="AL754" s="395"/>
      <c r="AM754" s="395"/>
      <c r="AN754" s="377" t="s">
        <v>881</v>
      </c>
      <c r="AO754" s="378"/>
      <c r="AP754" s="378"/>
      <c r="AQ754" s="378"/>
      <c r="AR754" s="378"/>
      <c r="AS754" s="379"/>
    </row>
    <row r="755" spans="1:50" s="35" customFormat="1" ht="14.25" customHeight="1" x14ac:dyDescent="0.25">
      <c r="A755" s="131"/>
      <c r="B755" s="131"/>
      <c r="C755" s="395" t="s">
        <v>845</v>
      </c>
      <c r="D755" s="395"/>
      <c r="E755" s="395"/>
      <c r="F755" s="395"/>
      <c r="G755" s="395"/>
      <c r="H755" s="395"/>
      <c r="I755" s="395"/>
      <c r="J755" s="395"/>
      <c r="K755" s="395"/>
      <c r="L755" s="395"/>
      <c r="M755" s="395"/>
      <c r="N755" s="395"/>
      <c r="O755" s="395"/>
      <c r="P755" s="395"/>
      <c r="Q755" s="395"/>
      <c r="R755" s="395"/>
      <c r="S755" s="395"/>
      <c r="T755" s="395"/>
      <c r="U755" s="395"/>
      <c r="V755" s="395"/>
      <c r="W755" s="395"/>
      <c r="X755" s="395"/>
      <c r="Y755" s="395"/>
      <c r="Z755" s="395"/>
      <c r="AA755" s="395"/>
      <c r="AB755" s="395"/>
      <c r="AC755" s="395"/>
      <c r="AD755" s="395"/>
      <c r="AE755" s="395"/>
      <c r="AF755" s="395"/>
      <c r="AG755" s="395"/>
      <c r="AH755" s="395"/>
      <c r="AI755" s="395"/>
      <c r="AJ755" s="395"/>
      <c r="AK755" s="395"/>
      <c r="AL755" s="395"/>
      <c r="AM755" s="395"/>
      <c r="AN755" s="377" t="s">
        <v>881</v>
      </c>
      <c r="AO755" s="378"/>
      <c r="AP755" s="378"/>
      <c r="AQ755" s="378"/>
      <c r="AR755" s="378"/>
      <c r="AS755" s="379"/>
    </row>
    <row r="756" spans="1:50" s="35" customFormat="1" ht="14.25" customHeight="1" x14ac:dyDescent="0.25">
      <c r="A756" s="131"/>
      <c r="B756" s="131"/>
      <c r="C756" s="395" t="s">
        <v>846</v>
      </c>
      <c r="D756" s="395"/>
      <c r="E756" s="395"/>
      <c r="F756" s="395"/>
      <c r="G756" s="395"/>
      <c r="H756" s="395"/>
      <c r="I756" s="395"/>
      <c r="J756" s="395"/>
      <c r="K756" s="395"/>
      <c r="L756" s="395"/>
      <c r="M756" s="395"/>
      <c r="N756" s="395"/>
      <c r="O756" s="395"/>
      <c r="P756" s="395"/>
      <c r="Q756" s="395"/>
      <c r="R756" s="395"/>
      <c r="S756" s="395"/>
      <c r="T756" s="395"/>
      <c r="U756" s="395"/>
      <c r="V756" s="395"/>
      <c r="W756" s="395"/>
      <c r="X756" s="395"/>
      <c r="Y756" s="395"/>
      <c r="Z756" s="395"/>
      <c r="AA756" s="395"/>
      <c r="AB756" s="395"/>
      <c r="AC756" s="395"/>
      <c r="AD756" s="395"/>
      <c r="AE756" s="395"/>
      <c r="AF756" s="395"/>
      <c r="AG756" s="395"/>
      <c r="AH756" s="395"/>
      <c r="AI756" s="395"/>
      <c r="AJ756" s="395"/>
      <c r="AK756" s="395"/>
      <c r="AL756" s="395"/>
      <c r="AM756" s="395"/>
      <c r="AN756" s="377" t="s">
        <v>881</v>
      </c>
      <c r="AO756" s="378"/>
      <c r="AP756" s="378"/>
      <c r="AQ756" s="378"/>
      <c r="AR756" s="378"/>
      <c r="AS756" s="379"/>
    </row>
    <row r="757" spans="1:50" s="35" customFormat="1" ht="14.25" customHeight="1" x14ac:dyDescent="0.25">
      <c r="A757" s="131"/>
      <c r="B757" s="131"/>
      <c r="C757" s="396" t="s">
        <v>847</v>
      </c>
      <c r="D757" s="396"/>
      <c r="E757" s="396"/>
      <c r="F757" s="396"/>
      <c r="G757" s="396"/>
      <c r="H757" s="396"/>
      <c r="I757" s="396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77" t="s">
        <v>881</v>
      </c>
      <c r="AO757" s="378"/>
      <c r="AP757" s="378"/>
      <c r="AQ757" s="378"/>
      <c r="AR757" s="378"/>
      <c r="AS757" s="379"/>
    </row>
    <row r="758" spans="1:50" s="35" customFormat="1" ht="14.25" customHeight="1" x14ac:dyDescent="0.25">
      <c r="A758" s="131"/>
      <c r="B758" s="13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36"/>
      <c r="AO758" s="136"/>
      <c r="AP758" s="136"/>
      <c r="AQ758" s="136"/>
      <c r="AR758" s="136"/>
      <c r="AS758" s="136"/>
    </row>
    <row r="759" spans="1:50" s="57" customFormat="1" ht="22.5" customHeight="1" x14ac:dyDescent="0.25">
      <c r="A759" s="42"/>
      <c r="B759" s="42"/>
      <c r="C759" s="141" t="s">
        <v>868</v>
      </c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89"/>
      <c r="T759" s="90"/>
      <c r="U759" s="90"/>
      <c r="V759" s="89"/>
      <c r="W759" s="90"/>
      <c r="X759" s="90"/>
      <c r="Y759" s="89"/>
      <c r="Z759" s="90"/>
      <c r="AA759" s="90"/>
      <c r="AB759" s="89"/>
      <c r="AC759" s="90"/>
      <c r="AD759" s="90"/>
      <c r="AE759" s="89"/>
      <c r="AF759" s="90"/>
      <c r="AG759" s="90"/>
      <c r="AH759" s="89"/>
      <c r="AI759" s="90"/>
      <c r="AJ759" s="90"/>
      <c r="AK759" s="89"/>
      <c r="AL759" s="90"/>
      <c r="AM759" s="90"/>
      <c r="AN759" s="89"/>
      <c r="AO759" s="90"/>
      <c r="AP759" s="90"/>
      <c r="AQ759" s="89"/>
      <c r="AR759" s="90"/>
      <c r="AS759" s="90"/>
    </row>
    <row r="760" spans="1:50" ht="14.25" customHeight="1" x14ac:dyDescent="0.25">
      <c r="C760" s="134"/>
      <c r="D760" s="134"/>
      <c r="E760" s="134"/>
      <c r="F760" s="134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83"/>
      <c r="T760" s="55"/>
      <c r="U760" s="55"/>
      <c r="V760" s="83"/>
      <c r="W760" s="55"/>
      <c r="X760" s="55"/>
      <c r="Y760" s="83"/>
      <c r="Z760" s="55"/>
      <c r="AA760" s="55"/>
      <c r="AB760" s="83"/>
      <c r="AC760" s="55"/>
      <c r="AD760" s="55"/>
      <c r="AE760" s="83"/>
      <c r="AF760" s="55"/>
      <c r="AG760" s="55"/>
      <c r="AH760" s="83"/>
      <c r="AI760" s="55"/>
      <c r="AJ760" s="55"/>
      <c r="AK760" s="83"/>
      <c r="AL760" s="55"/>
      <c r="AM760" s="55"/>
      <c r="AN760" s="83"/>
      <c r="AO760" s="55"/>
      <c r="AP760" s="55"/>
      <c r="AQ760" s="83"/>
      <c r="AR760" s="55"/>
      <c r="AS760" s="55"/>
      <c r="AW760" s="35"/>
      <c r="AX760" s="35"/>
    </row>
    <row r="761" spans="1:50" s="126" customFormat="1" ht="15.75" customHeight="1" x14ac:dyDescent="0.25">
      <c r="A761" s="148"/>
      <c r="B761" s="125"/>
      <c r="C761" s="334" t="s">
        <v>1075</v>
      </c>
      <c r="D761" s="334"/>
      <c r="E761" s="334"/>
      <c r="F761" s="334"/>
      <c r="G761" s="334"/>
      <c r="H761" s="334"/>
      <c r="I761" s="334"/>
      <c r="J761" s="334"/>
      <c r="K761" s="334"/>
      <c r="L761" s="334"/>
      <c r="M761" s="334"/>
      <c r="N761" s="334"/>
      <c r="O761" s="334"/>
      <c r="P761" s="334"/>
      <c r="Q761" s="334"/>
      <c r="R761" s="334"/>
      <c r="S761" s="334"/>
      <c r="T761" s="334"/>
      <c r="U761" s="334"/>
      <c r="V761" s="334"/>
      <c r="W761" s="334"/>
      <c r="X761" s="334"/>
      <c r="Y761" s="334"/>
      <c r="Z761" s="334"/>
      <c r="AA761" s="334"/>
      <c r="AB761" s="334"/>
      <c r="AC761" s="334"/>
      <c r="AD761" s="334"/>
      <c r="AE761" s="334"/>
      <c r="AF761" s="334"/>
      <c r="AG761" s="334"/>
      <c r="AH761" s="334"/>
      <c r="AI761" s="334"/>
      <c r="AJ761" s="334"/>
      <c r="AK761" s="334"/>
      <c r="AL761" s="334"/>
      <c r="AM761" s="334"/>
      <c r="AN761" s="334"/>
      <c r="AO761" s="334"/>
      <c r="AP761" s="334"/>
      <c r="AQ761" s="334"/>
      <c r="AR761" s="334"/>
      <c r="AS761" s="334"/>
      <c r="AW761" s="247"/>
      <c r="AX761" s="247"/>
    </row>
    <row r="762" spans="1:50" ht="14.25" customHeight="1" x14ac:dyDescent="0.25">
      <c r="C762" s="423" t="s">
        <v>80</v>
      </c>
      <c r="D762" s="423"/>
      <c r="E762" s="423"/>
      <c r="F762" s="423"/>
      <c r="G762" s="423"/>
      <c r="H762" s="423"/>
      <c r="I762" s="423"/>
      <c r="J762" s="423"/>
      <c r="K762" s="423"/>
      <c r="L762" s="423"/>
      <c r="M762" s="423"/>
      <c r="N762" s="423"/>
      <c r="O762" s="423"/>
      <c r="P762" s="423"/>
      <c r="Q762" s="423"/>
      <c r="R762" s="423"/>
      <c r="S762" s="423"/>
      <c r="T762" s="423"/>
      <c r="U762" s="423"/>
      <c r="V762" s="423"/>
      <c r="W762" s="423"/>
      <c r="X762" s="423"/>
      <c r="Y762" s="423"/>
      <c r="Z762" s="423"/>
      <c r="AA762" s="423"/>
      <c r="AB762" s="423"/>
      <c r="AC762" s="423"/>
      <c r="AD762" s="423"/>
      <c r="AE762" s="423"/>
      <c r="AF762" s="423"/>
      <c r="AG762" s="423"/>
      <c r="AH762" s="423"/>
      <c r="AI762" s="423"/>
      <c r="AJ762" s="423"/>
      <c r="AK762" s="423"/>
      <c r="AL762" s="423"/>
      <c r="AM762" s="423"/>
      <c r="AN762" s="421" t="s">
        <v>907</v>
      </c>
      <c r="AO762" s="421"/>
      <c r="AP762" s="421"/>
      <c r="AQ762" s="421"/>
      <c r="AR762" s="421"/>
      <c r="AS762" s="421"/>
      <c r="AW762" s="35"/>
      <c r="AX762" s="35"/>
    </row>
    <row r="763" spans="1:50" ht="14.25" customHeight="1" x14ac:dyDescent="0.25">
      <c r="C763" s="333" t="s">
        <v>1076</v>
      </c>
      <c r="D763" s="424"/>
      <c r="E763" s="424"/>
      <c r="F763" s="424"/>
      <c r="G763" s="424"/>
      <c r="H763" s="424"/>
      <c r="I763" s="424"/>
      <c r="J763" s="424"/>
      <c r="K763" s="424"/>
      <c r="L763" s="424"/>
      <c r="M763" s="424"/>
      <c r="N763" s="424"/>
      <c r="O763" s="424"/>
      <c r="P763" s="424"/>
      <c r="Q763" s="424"/>
      <c r="R763" s="424"/>
      <c r="S763" s="424"/>
      <c r="T763" s="424"/>
      <c r="U763" s="424"/>
      <c r="V763" s="424"/>
      <c r="W763" s="424"/>
      <c r="X763" s="424"/>
      <c r="Y763" s="424"/>
      <c r="Z763" s="424"/>
      <c r="AA763" s="424"/>
      <c r="AB763" s="424"/>
      <c r="AC763" s="424"/>
      <c r="AD763" s="424"/>
      <c r="AE763" s="424"/>
      <c r="AF763" s="424"/>
      <c r="AG763" s="424"/>
      <c r="AH763" s="424"/>
      <c r="AI763" s="424"/>
      <c r="AJ763" s="424"/>
      <c r="AK763" s="424"/>
      <c r="AL763" s="424"/>
      <c r="AM763" s="424"/>
      <c r="AN763" s="377">
        <v>103200</v>
      </c>
      <c r="AO763" s="378"/>
      <c r="AP763" s="378"/>
      <c r="AQ763" s="378"/>
      <c r="AR763" s="378"/>
      <c r="AS763" s="379"/>
      <c r="AW763" s="35"/>
      <c r="AX763" s="35"/>
    </row>
    <row r="764" spans="1:50" ht="14.25" customHeight="1" x14ac:dyDescent="0.25">
      <c r="C764" s="333" t="s">
        <v>737</v>
      </c>
      <c r="D764" s="333"/>
      <c r="E764" s="333"/>
      <c r="F764" s="333"/>
      <c r="G764" s="333"/>
      <c r="H764" s="333"/>
      <c r="I764" s="333"/>
      <c r="J764" s="333"/>
      <c r="K764" s="333"/>
      <c r="L764" s="333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333"/>
      <c r="AA764" s="333"/>
      <c r="AB764" s="333"/>
      <c r="AC764" s="333"/>
      <c r="AD764" s="333"/>
      <c r="AE764" s="333"/>
      <c r="AF764" s="333"/>
      <c r="AG764" s="333"/>
      <c r="AH764" s="333"/>
      <c r="AI764" s="333"/>
      <c r="AJ764" s="333"/>
      <c r="AK764" s="333"/>
      <c r="AL764" s="333"/>
      <c r="AM764" s="333"/>
      <c r="AN764" s="377">
        <v>5160</v>
      </c>
      <c r="AO764" s="378"/>
      <c r="AP764" s="378"/>
      <c r="AQ764" s="378"/>
      <c r="AR764" s="378"/>
      <c r="AS764" s="379"/>
      <c r="AW764" s="35"/>
      <c r="AX764" s="35"/>
    </row>
    <row r="765" spans="1:50" ht="14.25" customHeight="1" x14ac:dyDescent="0.25">
      <c r="C765" s="333" t="s">
        <v>738</v>
      </c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333"/>
      <c r="AA765" s="333"/>
      <c r="AB765" s="333"/>
      <c r="AC765" s="333"/>
      <c r="AD765" s="333"/>
      <c r="AE765" s="333"/>
      <c r="AF765" s="333"/>
      <c r="AG765" s="333"/>
      <c r="AH765" s="333"/>
      <c r="AI765" s="333"/>
      <c r="AJ765" s="333"/>
      <c r="AK765" s="333"/>
      <c r="AL765" s="333"/>
      <c r="AM765" s="333"/>
      <c r="AN765" s="377">
        <v>5160</v>
      </c>
      <c r="AO765" s="378"/>
      <c r="AP765" s="378"/>
      <c r="AQ765" s="378"/>
      <c r="AR765" s="378"/>
      <c r="AS765" s="379"/>
      <c r="AW765" s="35"/>
      <c r="AX765" s="35"/>
    </row>
    <row r="766" spans="1:50" ht="14.25" customHeight="1" x14ac:dyDescent="0.25">
      <c r="C766" s="333" t="s">
        <v>739</v>
      </c>
      <c r="D766" s="333"/>
      <c r="E766" s="333"/>
      <c r="F766" s="333"/>
      <c r="G766" s="333"/>
      <c r="H766" s="333"/>
      <c r="I766" s="333"/>
      <c r="J766" s="333"/>
      <c r="K766" s="333"/>
      <c r="L766" s="333"/>
      <c r="M766" s="333"/>
      <c r="N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333"/>
      <c r="AA766" s="333"/>
      <c r="AB766" s="333"/>
      <c r="AC766" s="333"/>
      <c r="AD766" s="333"/>
      <c r="AE766" s="333"/>
      <c r="AF766" s="333"/>
      <c r="AG766" s="333"/>
      <c r="AH766" s="333"/>
      <c r="AI766" s="333"/>
      <c r="AJ766" s="333"/>
      <c r="AK766" s="333"/>
      <c r="AL766" s="333"/>
      <c r="AM766" s="333"/>
      <c r="AN766" s="377">
        <v>5160</v>
      </c>
      <c r="AO766" s="378"/>
      <c r="AP766" s="378"/>
      <c r="AQ766" s="378"/>
      <c r="AR766" s="378"/>
      <c r="AS766" s="379"/>
      <c r="AW766" s="35"/>
      <c r="AX766" s="35"/>
    </row>
    <row r="767" spans="1:50" ht="14.25" customHeight="1" x14ac:dyDescent="0.25">
      <c r="C767" s="333" t="s">
        <v>740</v>
      </c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333"/>
      <c r="AA767" s="333"/>
      <c r="AB767" s="333"/>
      <c r="AC767" s="333"/>
      <c r="AD767" s="333"/>
      <c r="AE767" s="333"/>
      <c r="AF767" s="333"/>
      <c r="AG767" s="333"/>
      <c r="AH767" s="333"/>
      <c r="AI767" s="333"/>
      <c r="AJ767" s="333"/>
      <c r="AK767" s="333"/>
      <c r="AL767" s="333"/>
      <c r="AM767" s="333"/>
      <c r="AN767" s="377">
        <v>5160</v>
      </c>
      <c r="AO767" s="378"/>
      <c r="AP767" s="378"/>
      <c r="AQ767" s="378"/>
      <c r="AR767" s="378"/>
      <c r="AS767" s="379"/>
      <c r="AW767" s="35"/>
      <c r="AX767" s="35"/>
    </row>
    <row r="768" spans="1:50" ht="14.25" customHeight="1" x14ac:dyDescent="0.25">
      <c r="C768" s="333" t="s">
        <v>741</v>
      </c>
      <c r="D768" s="333"/>
      <c r="E768" s="333"/>
      <c r="F768" s="333"/>
      <c r="G768" s="333"/>
      <c r="H768" s="333"/>
      <c r="I768" s="333"/>
      <c r="J768" s="333"/>
      <c r="K768" s="333"/>
      <c r="L768" s="333"/>
      <c r="M768" s="333"/>
      <c r="N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333"/>
      <c r="AA768" s="333"/>
      <c r="AB768" s="333"/>
      <c r="AC768" s="333"/>
      <c r="AD768" s="333"/>
      <c r="AE768" s="333"/>
      <c r="AF768" s="333"/>
      <c r="AG768" s="333"/>
      <c r="AH768" s="333"/>
      <c r="AI768" s="333"/>
      <c r="AJ768" s="333"/>
      <c r="AK768" s="333"/>
      <c r="AL768" s="333"/>
      <c r="AM768" s="333"/>
      <c r="AN768" s="377">
        <v>5400</v>
      </c>
      <c r="AO768" s="378"/>
      <c r="AP768" s="378"/>
      <c r="AQ768" s="378"/>
      <c r="AR768" s="378"/>
      <c r="AS768" s="379"/>
      <c r="AW768" s="35"/>
      <c r="AX768" s="35"/>
    </row>
    <row r="769" spans="1:50" ht="14.25" customHeight="1" x14ac:dyDescent="0.25">
      <c r="C769" s="333" t="s">
        <v>742</v>
      </c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333"/>
      <c r="AA769" s="333"/>
      <c r="AB769" s="333"/>
      <c r="AC769" s="333"/>
      <c r="AD769" s="333"/>
      <c r="AE769" s="333"/>
      <c r="AF769" s="333"/>
      <c r="AG769" s="333"/>
      <c r="AH769" s="333"/>
      <c r="AI769" s="333"/>
      <c r="AJ769" s="333"/>
      <c r="AK769" s="333"/>
      <c r="AL769" s="333"/>
      <c r="AM769" s="333"/>
      <c r="AN769" s="377">
        <v>4200</v>
      </c>
      <c r="AO769" s="378"/>
      <c r="AP769" s="378"/>
      <c r="AQ769" s="378"/>
      <c r="AR769" s="378"/>
      <c r="AS769" s="379"/>
      <c r="AW769" s="35"/>
      <c r="AX769" s="35"/>
    </row>
    <row r="770" spans="1:50" s="35" customFormat="1" ht="14.25" customHeight="1" x14ac:dyDescent="0.25">
      <c r="A770" s="287"/>
      <c r="B770" s="287"/>
      <c r="C770" s="285"/>
      <c r="D770" s="285"/>
      <c r="E770" s="285"/>
      <c r="F770" s="285"/>
      <c r="G770" s="285"/>
      <c r="H770" s="285"/>
      <c r="I770" s="285"/>
      <c r="J770" s="285"/>
      <c r="K770" s="285"/>
      <c r="L770" s="285"/>
      <c r="M770" s="285"/>
      <c r="N770" s="285"/>
      <c r="O770" s="285"/>
      <c r="P770" s="285"/>
      <c r="Q770" s="285"/>
      <c r="R770" s="285"/>
      <c r="S770" s="285"/>
      <c r="T770" s="285"/>
      <c r="U770" s="285"/>
      <c r="V770" s="285"/>
      <c r="W770" s="285"/>
      <c r="X770" s="285"/>
      <c r="Y770" s="285"/>
      <c r="Z770" s="285"/>
      <c r="AA770" s="285"/>
      <c r="AB770" s="285"/>
      <c r="AC770" s="285"/>
      <c r="AD770" s="285"/>
      <c r="AE770" s="285"/>
      <c r="AF770" s="285"/>
      <c r="AG770" s="285"/>
      <c r="AH770" s="285"/>
      <c r="AI770" s="285"/>
      <c r="AJ770" s="285"/>
      <c r="AK770" s="285"/>
      <c r="AL770" s="285"/>
      <c r="AM770" s="285"/>
      <c r="AN770" s="143"/>
      <c r="AO770" s="143"/>
      <c r="AP770" s="143"/>
      <c r="AQ770" s="143"/>
      <c r="AR770" s="143"/>
      <c r="AS770" s="143"/>
    </row>
    <row r="771" spans="1:50" ht="18.75" customHeight="1" x14ac:dyDescent="0.25">
      <c r="C771" s="422" t="s">
        <v>1077</v>
      </c>
      <c r="D771" s="334"/>
      <c r="E771" s="334"/>
      <c r="F771" s="334"/>
      <c r="G771" s="334"/>
      <c r="H771" s="334"/>
      <c r="I771" s="334"/>
      <c r="J771" s="334"/>
      <c r="K771" s="334"/>
      <c r="L771" s="334"/>
      <c r="M771" s="334"/>
      <c r="N771" s="334"/>
      <c r="O771" s="334"/>
      <c r="P771" s="334"/>
      <c r="Q771" s="334"/>
      <c r="R771" s="334"/>
      <c r="S771" s="334"/>
      <c r="T771" s="334"/>
      <c r="U771" s="334"/>
      <c r="V771" s="334"/>
      <c r="W771" s="334"/>
      <c r="X771" s="334"/>
      <c r="Y771" s="334"/>
      <c r="Z771" s="334"/>
      <c r="AA771" s="334"/>
      <c r="AB771" s="334"/>
      <c r="AC771" s="334"/>
      <c r="AD771" s="334"/>
      <c r="AE771" s="334"/>
      <c r="AF771" s="334"/>
      <c r="AG771" s="334"/>
      <c r="AH771" s="334"/>
      <c r="AI771" s="334"/>
      <c r="AJ771" s="334"/>
      <c r="AK771" s="334"/>
      <c r="AL771" s="334"/>
      <c r="AM771" s="334"/>
      <c r="AN771" s="334"/>
      <c r="AO771" s="334"/>
      <c r="AP771" s="334"/>
      <c r="AQ771" s="334"/>
      <c r="AR771" s="334"/>
      <c r="AS771" s="334"/>
      <c r="AW771" s="35"/>
      <c r="AX771" s="35"/>
    </row>
    <row r="772" spans="1:50" ht="14.25" customHeight="1" x14ac:dyDescent="0.25">
      <c r="C772" s="423" t="s">
        <v>80</v>
      </c>
      <c r="D772" s="423"/>
      <c r="E772" s="423"/>
      <c r="F772" s="423"/>
      <c r="G772" s="423"/>
      <c r="H772" s="423"/>
      <c r="I772" s="423"/>
      <c r="J772" s="423"/>
      <c r="K772" s="423"/>
      <c r="L772" s="423"/>
      <c r="M772" s="423"/>
      <c r="N772" s="423"/>
      <c r="O772" s="423"/>
      <c r="P772" s="423"/>
      <c r="Q772" s="423"/>
      <c r="R772" s="423"/>
      <c r="S772" s="423"/>
      <c r="T772" s="423"/>
      <c r="U772" s="423"/>
      <c r="V772" s="423"/>
      <c r="W772" s="423"/>
      <c r="X772" s="423"/>
      <c r="Y772" s="423"/>
      <c r="Z772" s="423"/>
      <c r="AA772" s="423"/>
      <c r="AB772" s="423"/>
      <c r="AC772" s="423"/>
      <c r="AD772" s="423"/>
      <c r="AE772" s="423"/>
      <c r="AF772" s="423"/>
      <c r="AG772" s="423"/>
      <c r="AH772" s="423"/>
      <c r="AI772" s="423"/>
      <c r="AJ772" s="423"/>
      <c r="AK772" s="423"/>
      <c r="AL772" s="423"/>
      <c r="AM772" s="423"/>
      <c r="AN772" s="421" t="s">
        <v>907</v>
      </c>
      <c r="AO772" s="421"/>
      <c r="AP772" s="421"/>
      <c r="AQ772" s="421"/>
      <c r="AR772" s="421"/>
      <c r="AS772" s="421"/>
      <c r="AW772" s="35"/>
      <c r="AX772" s="35"/>
    </row>
    <row r="773" spans="1:50" ht="14.25" customHeight="1" x14ac:dyDescent="0.25">
      <c r="C773" s="333" t="s">
        <v>1078</v>
      </c>
      <c r="D773" s="424"/>
      <c r="E773" s="424"/>
      <c r="F773" s="424"/>
      <c r="G773" s="424"/>
      <c r="H773" s="424"/>
      <c r="I773" s="424"/>
      <c r="J773" s="424"/>
      <c r="K773" s="424"/>
      <c r="L773" s="424"/>
      <c r="M773" s="424"/>
      <c r="N773" s="424"/>
      <c r="O773" s="424"/>
      <c r="P773" s="424"/>
      <c r="Q773" s="424"/>
      <c r="R773" s="424"/>
      <c r="S773" s="424"/>
      <c r="T773" s="424"/>
      <c r="U773" s="424"/>
      <c r="V773" s="424"/>
      <c r="W773" s="424"/>
      <c r="X773" s="424"/>
      <c r="Y773" s="424"/>
      <c r="Z773" s="424"/>
      <c r="AA773" s="424"/>
      <c r="AB773" s="424"/>
      <c r="AC773" s="424"/>
      <c r="AD773" s="424"/>
      <c r="AE773" s="424"/>
      <c r="AF773" s="424"/>
      <c r="AG773" s="424"/>
      <c r="AH773" s="424"/>
      <c r="AI773" s="424"/>
      <c r="AJ773" s="424"/>
      <c r="AK773" s="424"/>
      <c r="AL773" s="424"/>
      <c r="AM773" s="424"/>
      <c r="AN773" s="377">
        <v>150000</v>
      </c>
      <c r="AO773" s="378"/>
      <c r="AP773" s="378"/>
      <c r="AQ773" s="378"/>
      <c r="AR773" s="378"/>
      <c r="AS773" s="379"/>
      <c r="AW773" s="35"/>
      <c r="AX773" s="35"/>
    </row>
    <row r="774" spans="1:50" ht="14.25" customHeight="1" x14ac:dyDescent="0.25">
      <c r="C774" s="333" t="s">
        <v>1079</v>
      </c>
      <c r="D774" s="333"/>
      <c r="E774" s="333"/>
      <c r="F774" s="333"/>
      <c r="G774" s="333"/>
      <c r="H774" s="333"/>
      <c r="I774" s="333"/>
      <c r="J774" s="333"/>
      <c r="K774" s="333"/>
      <c r="L774" s="333"/>
      <c r="M774" s="333"/>
      <c r="N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333"/>
      <c r="AA774" s="333"/>
      <c r="AB774" s="333"/>
      <c r="AC774" s="333"/>
      <c r="AD774" s="333"/>
      <c r="AE774" s="333"/>
      <c r="AF774" s="333"/>
      <c r="AG774" s="333"/>
      <c r="AH774" s="333"/>
      <c r="AI774" s="333"/>
      <c r="AJ774" s="333"/>
      <c r="AK774" s="333"/>
      <c r="AL774" s="333"/>
      <c r="AM774" s="333"/>
      <c r="AN774" s="377">
        <v>5400</v>
      </c>
      <c r="AO774" s="378"/>
      <c r="AP774" s="378"/>
      <c r="AQ774" s="378"/>
      <c r="AR774" s="378"/>
      <c r="AS774" s="379"/>
      <c r="AW774" s="35"/>
      <c r="AX774" s="35"/>
    </row>
    <row r="775" spans="1:50" ht="14.25" customHeight="1" x14ac:dyDescent="0.25">
      <c r="C775" s="333" t="s">
        <v>1080</v>
      </c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333"/>
      <c r="AA775" s="333"/>
      <c r="AB775" s="333"/>
      <c r="AC775" s="333"/>
      <c r="AD775" s="333"/>
      <c r="AE775" s="333"/>
      <c r="AF775" s="333"/>
      <c r="AG775" s="333"/>
      <c r="AH775" s="333"/>
      <c r="AI775" s="333"/>
      <c r="AJ775" s="333"/>
      <c r="AK775" s="333"/>
      <c r="AL775" s="333"/>
      <c r="AM775" s="333"/>
      <c r="AN775" s="377">
        <v>5160</v>
      </c>
      <c r="AO775" s="378"/>
      <c r="AP775" s="378"/>
      <c r="AQ775" s="378"/>
      <c r="AR775" s="378"/>
      <c r="AS775" s="379"/>
      <c r="AW775" s="35"/>
      <c r="AX775" s="35"/>
    </row>
    <row r="776" spans="1:50" ht="14.25" customHeight="1" x14ac:dyDescent="0.25">
      <c r="C776" s="333" t="s">
        <v>1081</v>
      </c>
      <c r="D776" s="333"/>
      <c r="E776" s="333"/>
      <c r="F776" s="333"/>
      <c r="G776" s="333"/>
      <c r="H776" s="333"/>
      <c r="I776" s="333"/>
      <c r="J776" s="333"/>
      <c r="K776" s="333"/>
      <c r="L776" s="333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333"/>
      <c r="AA776" s="333"/>
      <c r="AB776" s="333"/>
      <c r="AC776" s="333"/>
      <c r="AD776" s="333"/>
      <c r="AE776" s="333"/>
      <c r="AF776" s="333"/>
      <c r="AG776" s="333"/>
      <c r="AH776" s="333"/>
      <c r="AI776" s="333"/>
      <c r="AJ776" s="333"/>
      <c r="AK776" s="333"/>
      <c r="AL776" s="333"/>
      <c r="AM776" s="333"/>
      <c r="AN776" s="377">
        <v>5160</v>
      </c>
      <c r="AO776" s="378"/>
      <c r="AP776" s="378"/>
      <c r="AQ776" s="378"/>
      <c r="AR776" s="378"/>
      <c r="AS776" s="379"/>
      <c r="AW776" s="35"/>
      <c r="AX776" s="35"/>
    </row>
    <row r="777" spans="1:50" ht="14.25" customHeight="1" x14ac:dyDescent="0.25">
      <c r="C777" s="333" t="s">
        <v>741</v>
      </c>
      <c r="D777" s="333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333"/>
      <c r="AA777" s="333"/>
      <c r="AB777" s="333"/>
      <c r="AC777" s="333"/>
      <c r="AD777" s="333"/>
      <c r="AE777" s="333"/>
      <c r="AF777" s="333"/>
      <c r="AG777" s="333"/>
      <c r="AH777" s="333"/>
      <c r="AI777" s="333"/>
      <c r="AJ777" s="333"/>
      <c r="AK777" s="333"/>
      <c r="AL777" s="333"/>
      <c r="AM777" s="333"/>
      <c r="AN777" s="377">
        <v>5400</v>
      </c>
      <c r="AO777" s="378"/>
      <c r="AP777" s="378"/>
      <c r="AQ777" s="378"/>
      <c r="AR777" s="378"/>
      <c r="AS777" s="379"/>
      <c r="AW777" s="35"/>
      <c r="AX777" s="35"/>
    </row>
    <row r="778" spans="1:50" ht="14.25" customHeight="1" x14ac:dyDescent="0.25"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46"/>
      <c r="AO778" s="46"/>
      <c r="AP778" s="46"/>
      <c r="AQ778" s="46"/>
      <c r="AR778" s="46"/>
      <c r="AS778" s="46"/>
      <c r="AW778" s="35"/>
      <c r="AX778" s="35"/>
    </row>
    <row r="779" spans="1:50" s="128" customFormat="1" ht="18" customHeight="1" x14ac:dyDescent="0.25">
      <c r="A779" s="129"/>
      <c r="B779" s="127"/>
      <c r="C779" s="422" t="s">
        <v>872</v>
      </c>
      <c r="D779" s="422"/>
      <c r="E779" s="422"/>
      <c r="F779" s="422"/>
      <c r="G779" s="422"/>
      <c r="H779" s="422"/>
      <c r="I779" s="422"/>
      <c r="J779" s="422"/>
      <c r="K779" s="422"/>
      <c r="L779" s="422"/>
      <c r="M779" s="422"/>
      <c r="N779" s="422"/>
      <c r="O779" s="422"/>
      <c r="P779" s="422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  <c r="AA779" s="422"/>
      <c r="AB779" s="422"/>
      <c r="AC779" s="422"/>
      <c r="AD779" s="422"/>
      <c r="AE779" s="422"/>
      <c r="AF779" s="422"/>
      <c r="AG779" s="422"/>
      <c r="AH779" s="422"/>
      <c r="AI779" s="422"/>
      <c r="AJ779" s="422"/>
      <c r="AK779" s="422"/>
      <c r="AL779" s="422"/>
      <c r="AM779" s="422"/>
      <c r="AN779" s="422"/>
      <c r="AO779" s="422"/>
      <c r="AP779" s="422"/>
      <c r="AQ779" s="422"/>
      <c r="AR779" s="422"/>
      <c r="AS779" s="422"/>
      <c r="AW779" s="130"/>
      <c r="AX779" s="130"/>
    </row>
    <row r="780" spans="1:50" ht="14.25" customHeight="1" x14ac:dyDescent="0.25">
      <c r="C780" s="423" t="s">
        <v>80</v>
      </c>
      <c r="D780" s="423"/>
      <c r="E780" s="423"/>
      <c r="F780" s="423"/>
      <c r="G780" s="423"/>
      <c r="H780" s="423"/>
      <c r="I780" s="423"/>
      <c r="J780" s="423"/>
      <c r="K780" s="423"/>
      <c r="L780" s="423"/>
      <c r="M780" s="423"/>
      <c r="N780" s="423"/>
      <c r="O780" s="423"/>
      <c r="P780" s="423"/>
      <c r="Q780" s="423"/>
      <c r="R780" s="423"/>
      <c r="S780" s="423"/>
      <c r="T780" s="423"/>
      <c r="U780" s="423"/>
      <c r="V780" s="423"/>
      <c r="W780" s="423"/>
      <c r="X780" s="423"/>
      <c r="Y780" s="423"/>
      <c r="Z780" s="423"/>
      <c r="AA780" s="423"/>
      <c r="AB780" s="423"/>
      <c r="AC780" s="423"/>
      <c r="AD780" s="423"/>
      <c r="AE780" s="423"/>
      <c r="AF780" s="423"/>
      <c r="AG780" s="423"/>
      <c r="AH780" s="423"/>
      <c r="AI780" s="423"/>
      <c r="AJ780" s="423"/>
      <c r="AK780" s="423"/>
      <c r="AL780" s="423"/>
      <c r="AM780" s="423"/>
      <c r="AN780" s="421" t="s">
        <v>907</v>
      </c>
      <c r="AO780" s="421"/>
      <c r="AP780" s="421"/>
      <c r="AQ780" s="421"/>
      <c r="AR780" s="421"/>
      <c r="AS780" s="421"/>
      <c r="AW780" s="35"/>
      <c r="AX780" s="35"/>
    </row>
    <row r="781" spans="1:50" ht="14.25" customHeight="1" x14ac:dyDescent="0.25">
      <c r="C781" s="424" t="s">
        <v>1082</v>
      </c>
      <c r="D781" s="424"/>
      <c r="E781" s="424"/>
      <c r="F781" s="424"/>
      <c r="G781" s="424"/>
      <c r="H781" s="424"/>
      <c r="I781" s="424"/>
      <c r="J781" s="424"/>
      <c r="K781" s="424"/>
      <c r="L781" s="424"/>
      <c r="M781" s="424"/>
      <c r="N781" s="424"/>
      <c r="O781" s="424"/>
      <c r="P781" s="424"/>
      <c r="Q781" s="424"/>
      <c r="R781" s="424"/>
      <c r="S781" s="424"/>
      <c r="T781" s="424"/>
      <c r="U781" s="424"/>
      <c r="V781" s="424"/>
      <c r="W781" s="424"/>
      <c r="X781" s="424"/>
      <c r="Y781" s="424"/>
      <c r="Z781" s="424"/>
      <c r="AA781" s="424"/>
      <c r="AB781" s="424"/>
      <c r="AC781" s="424"/>
      <c r="AD781" s="424"/>
      <c r="AE781" s="424"/>
      <c r="AF781" s="424"/>
      <c r="AG781" s="424"/>
      <c r="AH781" s="424"/>
      <c r="AI781" s="424"/>
      <c r="AJ781" s="424"/>
      <c r="AK781" s="424"/>
      <c r="AL781" s="424"/>
      <c r="AM781" s="424"/>
      <c r="AN781" s="377">
        <v>103200</v>
      </c>
      <c r="AO781" s="378"/>
      <c r="AP781" s="378"/>
      <c r="AQ781" s="378"/>
      <c r="AR781" s="378"/>
      <c r="AS781" s="379"/>
      <c r="AW781" s="35"/>
      <c r="AX781" s="35"/>
    </row>
    <row r="782" spans="1:50" ht="14.25" customHeight="1" x14ac:dyDescent="0.25">
      <c r="C782" s="333" t="s">
        <v>737</v>
      </c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333"/>
      <c r="AA782" s="333"/>
      <c r="AB782" s="333"/>
      <c r="AC782" s="333"/>
      <c r="AD782" s="333"/>
      <c r="AE782" s="333"/>
      <c r="AF782" s="333"/>
      <c r="AG782" s="333"/>
      <c r="AH782" s="333"/>
      <c r="AI782" s="333"/>
      <c r="AJ782" s="333"/>
      <c r="AK782" s="333"/>
      <c r="AL782" s="333"/>
      <c r="AM782" s="333"/>
      <c r="AN782" s="377">
        <v>5160</v>
      </c>
      <c r="AO782" s="378"/>
      <c r="AP782" s="378"/>
      <c r="AQ782" s="378"/>
      <c r="AR782" s="378"/>
      <c r="AS782" s="379"/>
      <c r="AW782" s="35"/>
      <c r="AX782" s="35"/>
    </row>
    <row r="783" spans="1:50" ht="14.25" customHeight="1" x14ac:dyDescent="0.25">
      <c r="C783" s="333" t="s">
        <v>738</v>
      </c>
      <c r="D783" s="333"/>
      <c r="E783" s="333"/>
      <c r="F783" s="333"/>
      <c r="G783" s="333"/>
      <c r="H783" s="333"/>
      <c r="I783" s="333"/>
      <c r="J783" s="333"/>
      <c r="K783" s="333"/>
      <c r="L783" s="333"/>
      <c r="M783" s="333"/>
      <c r="N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333"/>
      <c r="AA783" s="333"/>
      <c r="AB783" s="333"/>
      <c r="AC783" s="333"/>
      <c r="AD783" s="333"/>
      <c r="AE783" s="333"/>
      <c r="AF783" s="333"/>
      <c r="AG783" s="333"/>
      <c r="AH783" s="333"/>
      <c r="AI783" s="333"/>
      <c r="AJ783" s="333"/>
      <c r="AK783" s="333"/>
      <c r="AL783" s="333"/>
      <c r="AM783" s="333"/>
      <c r="AN783" s="377">
        <v>5160</v>
      </c>
      <c r="AO783" s="378"/>
      <c r="AP783" s="378"/>
      <c r="AQ783" s="378"/>
      <c r="AR783" s="378"/>
      <c r="AS783" s="379"/>
      <c r="AW783" s="35"/>
      <c r="AX783" s="35"/>
    </row>
    <row r="784" spans="1:50" ht="14.25" customHeight="1" x14ac:dyDescent="0.25">
      <c r="C784" s="333" t="s">
        <v>743</v>
      </c>
      <c r="D784" s="333"/>
      <c r="E784" s="333"/>
      <c r="F784" s="333"/>
      <c r="G784" s="333"/>
      <c r="H784" s="333"/>
      <c r="I784" s="333"/>
      <c r="J784" s="333"/>
      <c r="K784" s="333"/>
      <c r="L784" s="333"/>
      <c r="M784" s="333"/>
      <c r="N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333"/>
      <c r="AA784" s="333"/>
      <c r="AB784" s="333"/>
      <c r="AC784" s="333"/>
      <c r="AD784" s="333"/>
      <c r="AE784" s="333"/>
      <c r="AF784" s="333"/>
      <c r="AG784" s="333"/>
      <c r="AH784" s="333"/>
      <c r="AI784" s="333"/>
      <c r="AJ784" s="333"/>
      <c r="AK784" s="333"/>
      <c r="AL784" s="333"/>
      <c r="AM784" s="333"/>
      <c r="AN784" s="377">
        <v>5160</v>
      </c>
      <c r="AO784" s="378"/>
      <c r="AP784" s="378"/>
      <c r="AQ784" s="378"/>
      <c r="AR784" s="378"/>
      <c r="AS784" s="379"/>
      <c r="AW784" s="35"/>
      <c r="AX784" s="35"/>
    </row>
    <row r="785" spans="1:50" ht="14.25" customHeight="1" x14ac:dyDescent="0.25">
      <c r="C785" s="333" t="s">
        <v>741</v>
      </c>
      <c r="D785" s="333"/>
      <c r="E785" s="333"/>
      <c r="F785" s="333"/>
      <c r="G785" s="333"/>
      <c r="H785" s="333"/>
      <c r="I785" s="333"/>
      <c r="J785" s="333"/>
      <c r="K785" s="333"/>
      <c r="L785" s="333"/>
      <c r="M785" s="333"/>
      <c r="N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333"/>
      <c r="AA785" s="333"/>
      <c r="AB785" s="333"/>
      <c r="AC785" s="333"/>
      <c r="AD785" s="333"/>
      <c r="AE785" s="333"/>
      <c r="AF785" s="333"/>
      <c r="AG785" s="333"/>
      <c r="AH785" s="333"/>
      <c r="AI785" s="333"/>
      <c r="AJ785" s="333"/>
      <c r="AK785" s="333"/>
      <c r="AL785" s="333"/>
      <c r="AM785" s="333"/>
      <c r="AN785" s="377">
        <v>5400</v>
      </c>
      <c r="AO785" s="378"/>
      <c r="AP785" s="378"/>
      <c r="AQ785" s="378"/>
      <c r="AR785" s="378"/>
      <c r="AS785" s="379"/>
      <c r="AW785" s="35"/>
      <c r="AX785" s="35"/>
    </row>
    <row r="786" spans="1:50" ht="14.25" customHeight="1" x14ac:dyDescent="0.25"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46"/>
      <c r="AO786" s="46"/>
      <c r="AP786" s="46"/>
      <c r="AQ786" s="46"/>
      <c r="AR786" s="46"/>
      <c r="AS786" s="46"/>
      <c r="AW786" s="35"/>
      <c r="AX786" s="35"/>
    </row>
    <row r="787" spans="1:50" s="128" customFormat="1" ht="19.5" customHeight="1" x14ac:dyDescent="0.25">
      <c r="A787" s="129"/>
      <c r="B787" s="127"/>
      <c r="C787" s="422" t="s">
        <v>1083</v>
      </c>
      <c r="D787" s="422"/>
      <c r="E787" s="422"/>
      <c r="F787" s="422"/>
      <c r="G787" s="422"/>
      <c r="H787" s="422"/>
      <c r="I787" s="422"/>
      <c r="J787" s="422"/>
      <c r="K787" s="422"/>
      <c r="L787" s="422"/>
      <c r="M787" s="422"/>
      <c r="N787" s="422"/>
      <c r="O787" s="422"/>
      <c r="P787" s="422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  <c r="AA787" s="422"/>
      <c r="AB787" s="422"/>
      <c r="AC787" s="422"/>
      <c r="AD787" s="422"/>
      <c r="AE787" s="422"/>
      <c r="AF787" s="422"/>
      <c r="AG787" s="422"/>
      <c r="AH787" s="422"/>
      <c r="AI787" s="422"/>
      <c r="AJ787" s="422"/>
      <c r="AK787" s="422"/>
      <c r="AL787" s="422"/>
      <c r="AM787" s="422"/>
      <c r="AN787" s="422"/>
      <c r="AO787" s="422"/>
      <c r="AP787" s="422"/>
      <c r="AQ787" s="422"/>
      <c r="AR787" s="422"/>
      <c r="AS787" s="422"/>
      <c r="AW787" s="130"/>
      <c r="AX787" s="130"/>
    </row>
    <row r="788" spans="1:50" ht="14.25" customHeight="1" x14ac:dyDescent="0.25">
      <c r="C788" s="423" t="s">
        <v>80</v>
      </c>
      <c r="D788" s="423"/>
      <c r="E788" s="423"/>
      <c r="F788" s="423"/>
      <c r="G788" s="423"/>
      <c r="H788" s="423"/>
      <c r="I788" s="423"/>
      <c r="J788" s="423"/>
      <c r="K788" s="423"/>
      <c r="L788" s="423"/>
      <c r="M788" s="423"/>
      <c r="N788" s="423"/>
      <c r="O788" s="423"/>
      <c r="P788" s="423"/>
      <c r="Q788" s="423"/>
      <c r="R788" s="423"/>
      <c r="S788" s="423"/>
      <c r="T788" s="423"/>
      <c r="U788" s="423"/>
      <c r="V788" s="423"/>
      <c r="W788" s="423"/>
      <c r="X788" s="423"/>
      <c r="Y788" s="423"/>
      <c r="Z788" s="423"/>
      <c r="AA788" s="423"/>
      <c r="AB788" s="423"/>
      <c r="AC788" s="423"/>
      <c r="AD788" s="423"/>
      <c r="AE788" s="423"/>
      <c r="AF788" s="423"/>
      <c r="AG788" s="423"/>
      <c r="AH788" s="423"/>
      <c r="AI788" s="423"/>
      <c r="AJ788" s="423"/>
      <c r="AK788" s="423"/>
      <c r="AL788" s="423"/>
      <c r="AM788" s="423"/>
      <c r="AN788" s="421" t="s">
        <v>907</v>
      </c>
      <c r="AO788" s="421"/>
      <c r="AP788" s="421"/>
      <c r="AQ788" s="421"/>
      <c r="AR788" s="421"/>
      <c r="AS788" s="421"/>
      <c r="AW788" s="35"/>
      <c r="AX788" s="35"/>
    </row>
    <row r="789" spans="1:50" ht="14.25" customHeight="1" x14ac:dyDescent="0.25">
      <c r="C789" s="424" t="s">
        <v>1084</v>
      </c>
      <c r="D789" s="424"/>
      <c r="E789" s="424"/>
      <c r="F789" s="424"/>
      <c r="G789" s="424"/>
      <c r="H789" s="424"/>
      <c r="I789" s="424"/>
      <c r="J789" s="424"/>
      <c r="K789" s="424"/>
      <c r="L789" s="424"/>
      <c r="M789" s="424"/>
      <c r="N789" s="424"/>
      <c r="O789" s="424"/>
      <c r="P789" s="424"/>
      <c r="Q789" s="424"/>
      <c r="R789" s="424"/>
      <c r="S789" s="424"/>
      <c r="T789" s="424"/>
      <c r="U789" s="424"/>
      <c r="V789" s="424"/>
      <c r="W789" s="424"/>
      <c r="X789" s="424"/>
      <c r="Y789" s="424"/>
      <c r="Z789" s="424"/>
      <c r="AA789" s="424"/>
      <c r="AB789" s="424"/>
      <c r="AC789" s="424"/>
      <c r="AD789" s="424"/>
      <c r="AE789" s="424"/>
      <c r="AF789" s="424"/>
      <c r="AG789" s="424"/>
      <c r="AH789" s="424"/>
      <c r="AI789" s="424"/>
      <c r="AJ789" s="424"/>
      <c r="AK789" s="424"/>
      <c r="AL789" s="424"/>
      <c r="AM789" s="424"/>
      <c r="AN789" s="377">
        <v>114000</v>
      </c>
      <c r="AO789" s="378"/>
      <c r="AP789" s="378"/>
      <c r="AQ789" s="378"/>
      <c r="AR789" s="378"/>
      <c r="AS789" s="379"/>
      <c r="AW789" s="35"/>
      <c r="AX789" s="35"/>
    </row>
    <row r="790" spans="1:50" ht="14.25" customHeight="1" x14ac:dyDescent="0.25">
      <c r="C790" s="333" t="s">
        <v>737</v>
      </c>
      <c r="D790" s="333"/>
      <c r="E790" s="333"/>
      <c r="F790" s="333"/>
      <c r="G790" s="333"/>
      <c r="H790" s="333"/>
      <c r="I790" s="333"/>
      <c r="J790" s="333"/>
      <c r="K790" s="333"/>
      <c r="L790" s="333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333"/>
      <c r="AA790" s="333"/>
      <c r="AB790" s="333"/>
      <c r="AC790" s="333"/>
      <c r="AD790" s="333"/>
      <c r="AE790" s="333"/>
      <c r="AF790" s="333"/>
      <c r="AG790" s="333"/>
      <c r="AH790" s="333"/>
      <c r="AI790" s="333"/>
      <c r="AJ790" s="333"/>
      <c r="AK790" s="333"/>
      <c r="AL790" s="333"/>
      <c r="AM790" s="333"/>
      <c r="AN790" s="377">
        <v>5160</v>
      </c>
      <c r="AO790" s="378"/>
      <c r="AP790" s="378"/>
      <c r="AQ790" s="378"/>
      <c r="AR790" s="378"/>
      <c r="AS790" s="379"/>
      <c r="AW790" s="35"/>
      <c r="AX790" s="35"/>
    </row>
    <row r="791" spans="1:50" ht="14.25" customHeight="1" x14ac:dyDescent="0.25">
      <c r="C791" s="333" t="s">
        <v>738</v>
      </c>
      <c r="D791" s="333"/>
      <c r="E791" s="333"/>
      <c r="F791" s="333"/>
      <c r="G791" s="333"/>
      <c r="H791" s="333"/>
      <c r="I791" s="333"/>
      <c r="J791" s="333"/>
      <c r="K791" s="333"/>
      <c r="L791" s="333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333"/>
      <c r="AA791" s="333"/>
      <c r="AB791" s="333"/>
      <c r="AC791" s="333"/>
      <c r="AD791" s="333"/>
      <c r="AE791" s="333"/>
      <c r="AF791" s="333"/>
      <c r="AG791" s="333"/>
      <c r="AH791" s="333"/>
      <c r="AI791" s="333"/>
      <c r="AJ791" s="333"/>
      <c r="AK791" s="333"/>
      <c r="AL791" s="333"/>
      <c r="AM791" s="333"/>
      <c r="AN791" s="377">
        <v>5160</v>
      </c>
      <c r="AO791" s="378"/>
      <c r="AP791" s="378"/>
      <c r="AQ791" s="378"/>
      <c r="AR791" s="378"/>
      <c r="AS791" s="379"/>
      <c r="AW791" s="35"/>
      <c r="AX791" s="35"/>
    </row>
    <row r="792" spans="1:50" ht="14.25" customHeight="1" x14ac:dyDescent="0.25">
      <c r="C792" s="333" t="s">
        <v>744</v>
      </c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333"/>
      <c r="AA792" s="333"/>
      <c r="AB792" s="333"/>
      <c r="AC792" s="333"/>
      <c r="AD792" s="333"/>
      <c r="AE792" s="333"/>
      <c r="AF792" s="333"/>
      <c r="AG792" s="333"/>
      <c r="AH792" s="333"/>
      <c r="AI792" s="333"/>
      <c r="AJ792" s="333"/>
      <c r="AK792" s="333"/>
      <c r="AL792" s="333"/>
      <c r="AM792" s="333"/>
      <c r="AN792" s="377">
        <v>5160</v>
      </c>
      <c r="AO792" s="378"/>
      <c r="AP792" s="378"/>
      <c r="AQ792" s="378"/>
      <c r="AR792" s="378"/>
      <c r="AS792" s="379"/>
      <c r="AW792" s="35"/>
      <c r="AX792" s="35"/>
    </row>
    <row r="793" spans="1:50" ht="14.25" customHeight="1" x14ac:dyDescent="0.25"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46"/>
      <c r="AO793" s="46"/>
      <c r="AP793" s="46"/>
      <c r="AQ793" s="46"/>
      <c r="AR793" s="46"/>
      <c r="AS793" s="46"/>
      <c r="AW793" s="35"/>
      <c r="AX793" s="35"/>
    </row>
    <row r="794" spans="1:50" s="128" customFormat="1" ht="18" customHeight="1" x14ac:dyDescent="0.25">
      <c r="A794" s="129"/>
      <c r="B794" s="127"/>
      <c r="C794" s="422" t="s">
        <v>1085</v>
      </c>
      <c r="D794" s="422"/>
      <c r="E794" s="422"/>
      <c r="F794" s="422"/>
      <c r="G794" s="422"/>
      <c r="H794" s="422"/>
      <c r="I794" s="422"/>
      <c r="J794" s="422"/>
      <c r="K794" s="422"/>
      <c r="L794" s="422"/>
      <c r="M794" s="422"/>
      <c r="N794" s="422"/>
      <c r="O794" s="422"/>
      <c r="P794" s="422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  <c r="AA794" s="422"/>
      <c r="AB794" s="422"/>
      <c r="AC794" s="422"/>
      <c r="AD794" s="422"/>
      <c r="AE794" s="422"/>
      <c r="AF794" s="422"/>
      <c r="AG794" s="422"/>
      <c r="AH794" s="422"/>
      <c r="AI794" s="422"/>
      <c r="AJ794" s="422"/>
      <c r="AK794" s="422"/>
      <c r="AL794" s="422"/>
      <c r="AM794" s="422"/>
      <c r="AN794" s="422"/>
      <c r="AO794" s="422"/>
      <c r="AP794" s="422"/>
      <c r="AQ794" s="422"/>
      <c r="AR794" s="422"/>
      <c r="AS794" s="422"/>
      <c r="AW794" s="130"/>
      <c r="AX794" s="130"/>
    </row>
    <row r="795" spans="1:50" ht="14.25" customHeight="1" x14ac:dyDescent="0.25">
      <c r="C795" s="423" t="s">
        <v>80</v>
      </c>
      <c r="D795" s="423"/>
      <c r="E795" s="423"/>
      <c r="F795" s="423"/>
      <c r="G795" s="423"/>
      <c r="H795" s="423"/>
      <c r="I795" s="423"/>
      <c r="J795" s="423"/>
      <c r="K795" s="423"/>
      <c r="L795" s="423"/>
      <c r="M795" s="423"/>
      <c r="N795" s="423"/>
      <c r="O795" s="423"/>
      <c r="P795" s="423"/>
      <c r="Q795" s="423"/>
      <c r="R795" s="423"/>
      <c r="S795" s="423"/>
      <c r="T795" s="423"/>
      <c r="U795" s="423"/>
      <c r="V795" s="423"/>
      <c r="W795" s="423"/>
      <c r="X795" s="423"/>
      <c r="Y795" s="423"/>
      <c r="Z795" s="423"/>
      <c r="AA795" s="423"/>
      <c r="AB795" s="423"/>
      <c r="AC795" s="423"/>
      <c r="AD795" s="423"/>
      <c r="AE795" s="423"/>
      <c r="AF795" s="423"/>
      <c r="AG795" s="423"/>
      <c r="AH795" s="423"/>
      <c r="AI795" s="423"/>
      <c r="AJ795" s="423"/>
      <c r="AK795" s="423"/>
      <c r="AL795" s="423"/>
      <c r="AM795" s="423"/>
      <c r="AN795" s="421" t="s">
        <v>907</v>
      </c>
      <c r="AO795" s="421"/>
      <c r="AP795" s="421"/>
      <c r="AQ795" s="421"/>
      <c r="AR795" s="421"/>
      <c r="AS795" s="421"/>
      <c r="AW795" s="35"/>
      <c r="AX795" s="35"/>
    </row>
    <row r="796" spans="1:50" ht="14.25" customHeight="1" x14ac:dyDescent="0.25">
      <c r="C796" s="424" t="s">
        <v>736</v>
      </c>
      <c r="D796" s="424"/>
      <c r="E796" s="424"/>
      <c r="F796" s="424"/>
      <c r="G796" s="424"/>
      <c r="H796" s="424"/>
      <c r="I796" s="424"/>
      <c r="J796" s="424"/>
      <c r="K796" s="424"/>
      <c r="L796" s="424"/>
      <c r="M796" s="424"/>
      <c r="N796" s="424"/>
      <c r="O796" s="424"/>
      <c r="P796" s="424"/>
      <c r="Q796" s="424"/>
      <c r="R796" s="424"/>
      <c r="S796" s="424"/>
      <c r="T796" s="424"/>
      <c r="U796" s="424"/>
      <c r="V796" s="424"/>
      <c r="W796" s="424"/>
      <c r="X796" s="424"/>
      <c r="Y796" s="424"/>
      <c r="Z796" s="424"/>
      <c r="AA796" s="424"/>
      <c r="AB796" s="424"/>
      <c r="AC796" s="424"/>
      <c r="AD796" s="424"/>
      <c r="AE796" s="424"/>
      <c r="AF796" s="424"/>
      <c r="AG796" s="424"/>
      <c r="AH796" s="424"/>
      <c r="AI796" s="424"/>
      <c r="AJ796" s="424"/>
      <c r="AK796" s="424"/>
      <c r="AL796" s="424"/>
      <c r="AM796" s="424"/>
      <c r="AN796" s="377">
        <v>150000</v>
      </c>
      <c r="AO796" s="378"/>
      <c r="AP796" s="378"/>
      <c r="AQ796" s="378"/>
      <c r="AR796" s="378"/>
      <c r="AS796" s="379"/>
      <c r="AW796" s="35"/>
      <c r="AX796" s="35"/>
    </row>
    <row r="797" spans="1:50" ht="14.25" customHeight="1" x14ac:dyDescent="0.25">
      <c r="C797" s="333" t="s">
        <v>737</v>
      </c>
      <c r="D797" s="333"/>
      <c r="E797" s="333"/>
      <c r="F797" s="333"/>
      <c r="G797" s="333"/>
      <c r="H797" s="333"/>
      <c r="I797" s="333"/>
      <c r="J797" s="333"/>
      <c r="K797" s="333"/>
      <c r="L797" s="333"/>
      <c r="M797" s="333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333"/>
      <c r="AA797" s="333"/>
      <c r="AB797" s="333"/>
      <c r="AC797" s="333"/>
      <c r="AD797" s="333"/>
      <c r="AE797" s="333"/>
      <c r="AF797" s="333"/>
      <c r="AG797" s="333"/>
      <c r="AH797" s="333"/>
      <c r="AI797" s="333"/>
      <c r="AJ797" s="333"/>
      <c r="AK797" s="333"/>
      <c r="AL797" s="333"/>
      <c r="AM797" s="333"/>
      <c r="AN797" s="377">
        <v>5400</v>
      </c>
      <c r="AO797" s="378"/>
      <c r="AP797" s="378"/>
      <c r="AQ797" s="378"/>
      <c r="AR797" s="378"/>
      <c r="AS797" s="379"/>
      <c r="AW797" s="35"/>
      <c r="AX797" s="35"/>
    </row>
    <row r="798" spans="1:50" ht="14.25" customHeight="1" x14ac:dyDescent="0.25">
      <c r="C798" s="333" t="s">
        <v>1086</v>
      </c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333"/>
      <c r="AA798" s="333"/>
      <c r="AB798" s="333"/>
      <c r="AC798" s="333"/>
      <c r="AD798" s="333"/>
      <c r="AE798" s="333"/>
      <c r="AF798" s="333"/>
      <c r="AG798" s="333"/>
      <c r="AH798" s="333"/>
      <c r="AI798" s="333"/>
      <c r="AJ798" s="333"/>
      <c r="AK798" s="333"/>
      <c r="AL798" s="333"/>
      <c r="AM798" s="333"/>
      <c r="AN798" s="377">
        <v>5160</v>
      </c>
      <c r="AO798" s="378"/>
      <c r="AP798" s="378"/>
      <c r="AQ798" s="378"/>
      <c r="AR798" s="378"/>
      <c r="AS798" s="379"/>
      <c r="AW798" s="35"/>
      <c r="AX798" s="35"/>
    </row>
    <row r="799" spans="1:50" ht="14.25" customHeight="1" x14ac:dyDescent="0.25">
      <c r="C799" s="333" t="s">
        <v>1087</v>
      </c>
      <c r="D799" s="333"/>
      <c r="E799" s="333"/>
      <c r="F799" s="333"/>
      <c r="G799" s="333"/>
      <c r="H799" s="333"/>
      <c r="I799" s="333"/>
      <c r="J799" s="333"/>
      <c r="K799" s="333"/>
      <c r="L799" s="333"/>
      <c r="M799" s="333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333"/>
      <c r="AA799" s="333"/>
      <c r="AB799" s="333"/>
      <c r="AC799" s="333"/>
      <c r="AD799" s="333"/>
      <c r="AE799" s="333"/>
      <c r="AF799" s="333"/>
      <c r="AG799" s="333"/>
      <c r="AH799" s="333"/>
      <c r="AI799" s="333"/>
      <c r="AJ799" s="333"/>
      <c r="AK799" s="333"/>
      <c r="AL799" s="333"/>
      <c r="AM799" s="333"/>
      <c r="AN799" s="377">
        <v>5160</v>
      </c>
      <c r="AO799" s="378"/>
      <c r="AP799" s="378"/>
      <c r="AQ799" s="378"/>
      <c r="AR799" s="378"/>
      <c r="AS799" s="379"/>
      <c r="AW799" s="35"/>
      <c r="AX799" s="35"/>
    </row>
    <row r="800" spans="1:50" ht="14.25" customHeight="1" x14ac:dyDescent="0.25">
      <c r="C800" s="333" t="s">
        <v>741</v>
      </c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333"/>
      <c r="AA800" s="333"/>
      <c r="AB800" s="333"/>
      <c r="AC800" s="333"/>
      <c r="AD800" s="333"/>
      <c r="AE800" s="333"/>
      <c r="AF800" s="333"/>
      <c r="AG800" s="333"/>
      <c r="AH800" s="333"/>
      <c r="AI800" s="333"/>
      <c r="AJ800" s="333"/>
      <c r="AK800" s="333"/>
      <c r="AL800" s="333"/>
      <c r="AM800" s="333"/>
      <c r="AN800" s="377">
        <v>5400</v>
      </c>
      <c r="AO800" s="378"/>
      <c r="AP800" s="378"/>
      <c r="AQ800" s="378"/>
      <c r="AR800" s="378"/>
      <c r="AS800" s="379"/>
      <c r="AW800" s="35"/>
      <c r="AX800" s="35"/>
    </row>
    <row r="801" spans="1:50" ht="14.25" customHeight="1" x14ac:dyDescent="0.25"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46"/>
      <c r="AO801" s="46"/>
      <c r="AP801" s="46"/>
      <c r="AQ801" s="46"/>
      <c r="AR801" s="46"/>
      <c r="AS801" s="46"/>
      <c r="AW801" s="35"/>
      <c r="AX801" s="35"/>
    </row>
    <row r="802" spans="1:50" s="128" customFormat="1" ht="16.5" customHeight="1" x14ac:dyDescent="0.25">
      <c r="A802" s="129"/>
      <c r="B802" s="127"/>
      <c r="C802" s="334" t="s">
        <v>745</v>
      </c>
      <c r="D802" s="334"/>
      <c r="E802" s="334"/>
      <c r="F802" s="334"/>
      <c r="G802" s="334"/>
      <c r="H802" s="334"/>
      <c r="I802" s="334"/>
      <c r="J802" s="334"/>
      <c r="K802" s="334"/>
      <c r="L802" s="334"/>
      <c r="M802" s="334"/>
      <c r="N802" s="334"/>
      <c r="O802" s="334"/>
      <c r="P802" s="334"/>
      <c r="Q802" s="334"/>
      <c r="R802" s="334"/>
      <c r="S802" s="334"/>
      <c r="T802" s="334"/>
      <c r="U802" s="334"/>
      <c r="V802" s="334"/>
      <c r="W802" s="334"/>
      <c r="X802" s="334"/>
      <c r="Y802" s="334"/>
      <c r="Z802" s="334"/>
      <c r="AA802" s="334"/>
      <c r="AB802" s="334"/>
      <c r="AC802" s="334"/>
      <c r="AD802" s="334"/>
      <c r="AE802" s="334"/>
      <c r="AF802" s="334"/>
      <c r="AG802" s="334"/>
      <c r="AH802" s="334"/>
      <c r="AI802" s="334"/>
      <c r="AJ802" s="334"/>
      <c r="AK802" s="334"/>
      <c r="AL802" s="334"/>
      <c r="AM802" s="334"/>
      <c r="AN802" s="334"/>
      <c r="AO802" s="334"/>
      <c r="AP802" s="334"/>
      <c r="AQ802" s="334"/>
      <c r="AR802" s="334"/>
      <c r="AS802" s="334"/>
      <c r="AW802" s="130"/>
      <c r="AX802" s="130"/>
    </row>
    <row r="803" spans="1:50" ht="14.25" customHeight="1" x14ac:dyDescent="0.25">
      <c r="C803" s="423" t="s">
        <v>80</v>
      </c>
      <c r="D803" s="423"/>
      <c r="E803" s="423"/>
      <c r="F803" s="423"/>
      <c r="G803" s="423"/>
      <c r="H803" s="423"/>
      <c r="I803" s="423"/>
      <c r="J803" s="423"/>
      <c r="K803" s="423"/>
      <c r="L803" s="423"/>
      <c r="M803" s="423"/>
      <c r="N803" s="423"/>
      <c r="O803" s="423"/>
      <c r="P803" s="423"/>
      <c r="Q803" s="423"/>
      <c r="R803" s="423"/>
      <c r="S803" s="423"/>
      <c r="T803" s="423"/>
      <c r="U803" s="423"/>
      <c r="V803" s="423"/>
      <c r="W803" s="423"/>
      <c r="X803" s="423"/>
      <c r="Y803" s="423"/>
      <c r="Z803" s="423"/>
      <c r="AA803" s="423"/>
      <c r="AB803" s="423"/>
      <c r="AC803" s="423"/>
      <c r="AD803" s="423"/>
      <c r="AE803" s="423"/>
      <c r="AF803" s="423"/>
      <c r="AG803" s="423"/>
      <c r="AH803" s="423"/>
      <c r="AI803" s="423"/>
      <c r="AJ803" s="423"/>
      <c r="AK803" s="423"/>
      <c r="AL803" s="423"/>
      <c r="AM803" s="423"/>
      <c r="AN803" s="421" t="s">
        <v>907</v>
      </c>
      <c r="AO803" s="421"/>
      <c r="AP803" s="421"/>
      <c r="AQ803" s="421"/>
      <c r="AR803" s="421"/>
      <c r="AS803" s="421"/>
      <c r="AW803" s="35"/>
      <c r="AX803" s="35"/>
    </row>
    <row r="804" spans="1:50" ht="14.25" customHeight="1" x14ac:dyDescent="0.25">
      <c r="C804" s="376" t="s">
        <v>745</v>
      </c>
      <c r="D804" s="376"/>
      <c r="E804" s="376"/>
      <c r="F804" s="376"/>
      <c r="G804" s="376"/>
      <c r="H804" s="376"/>
      <c r="I804" s="376"/>
      <c r="J804" s="376"/>
      <c r="K804" s="376"/>
      <c r="L804" s="376"/>
      <c r="M804" s="376"/>
      <c r="N804" s="376"/>
      <c r="O804" s="376"/>
      <c r="P804" s="376"/>
      <c r="Q804" s="376"/>
      <c r="R804" s="376"/>
      <c r="S804" s="376"/>
      <c r="T804" s="376"/>
      <c r="U804" s="376"/>
      <c r="V804" s="376"/>
      <c r="W804" s="376"/>
      <c r="X804" s="376"/>
      <c r="Y804" s="376"/>
      <c r="Z804" s="376"/>
      <c r="AA804" s="376"/>
      <c r="AB804" s="376"/>
      <c r="AC804" s="376"/>
      <c r="AD804" s="376"/>
      <c r="AE804" s="376"/>
      <c r="AF804" s="376"/>
      <c r="AG804" s="376"/>
      <c r="AH804" s="376"/>
      <c r="AI804" s="376"/>
      <c r="AJ804" s="376"/>
      <c r="AK804" s="376"/>
      <c r="AL804" s="376"/>
      <c r="AM804" s="376"/>
      <c r="AN804" s="377">
        <v>258000</v>
      </c>
      <c r="AO804" s="378"/>
      <c r="AP804" s="378"/>
      <c r="AQ804" s="378"/>
      <c r="AR804" s="378"/>
      <c r="AS804" s="379"/>
      <c r="AW804" s="35"/>
      <c r="AX804" s="35"/>
    </row>
    <row r="805" spans="1:50" ht="14.25" customHeight="1" x14ac:dyDescent="0.25"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46"/>
      <c r="AO805" s="46"/>
      <c r="AP805" s="46"/>
      <c r="AQ805" s="46"/>
      <c r="AR805" s="46"/>
      <c r="AS805" s="46"/>
      <c r="AW805" s="35"/>
      <c r="AX805" s="35"/>
    </row>
    <row r="806" spans="1:50" s="128" customFormat="1" ht="15.75" customHeight="1" x14ac:dyDescent="0.25">
      <c r="A806" s="129"/>
      <c r="B806" s="127"/>
      <c r="C806" s="422" t="s">
        <v>746</v>
      </c>
      <c r="D806" s="422"/>
      <c r="E806" s="422"/>
      <c r="F806" s="422"/>
      <c r="G806" s="422"/>
      <c r="H806" s="422"/>
      <c r="I806" s="422"/>
      <c r="J806" s="422"/>
      <c r="K806" s="422"/>
      <c r="L806" s="422"/>
      <c r="M806" s="422"/>
      <c r="N806" s="422"/>
      <c r="O806" s="422"/>
      <c r="P806" s="422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  <c r="AA806" s="422"/>
      <c r="AB806" s="422"/>
      <c r="AC806" s="422"/>
      <c r="AD806" s="422"/>
      <c r="AE806" s="422"/>
      <c r="AF806" s="422"/>
      <c r="AG806" s="422"/>
      <c r="AH806" s="422"/>
      <c r="AI806" s="422"/>
      <c r="AJ806" s="422"/>
      <c r="AK806" s="422"/>
      <c r="AL806" s="422"/>
      <c r="AM806" s="422"/>
      <c r="AN806" s="422"/>
      <c r="AO806" s="422"/>
      <c r="AP806" s="422"/>
      <c r="AQ806" s="422"/>
      <c r="AR806" s="422"/>
      <c r="AS806" s="422"/>
      <c r="AW806" s="130"/>
      <c r="AX806" s="130"/>
    </row>
    <row r="807" spans="1:50" ht="14.25" customHeight="1" x14ac:dyDescent="0.2">
      <c r="A807" s="30"/>
      <c r="B807" s="30"/>
      <c r="C807" s="423" t="s">
        <v>80</v>
      </c>
      <c r="D807" s="423"/>
      <c r="E807" s="423"/>
      <c r="F807" s="423"/>
      <c r="G807" s="423"/>
      <c r="H807" s="423"/>
      <c r="I807" s="423"/>
      <c r="J807" s="423"/>
      <c r="K807" s="423"/>
      <c r="L807" s="423"/>
      <c r="M807" s="423"/>
      <c r="N807" s="423"/>
      <c r="O807" s="423"/>
      <c r="P807" s="423"/>
      <c r="Q807" s="423"/>
      <c r="R807" s="423"/>
      <c r="S807" s="423"/>
      <c r="T807" s="423"/>
      <c r="U807" s="423"/>
      <c r="V807" s="423"/>
      <c r="W807" s="423"/>
      <c r="X807" s="423"/>
      <c r="Y807" s="423"/>
      <c r="Z807" s="423"/>
      <c r="AA807" s="423"/>
      <c r="AB807" s="423"/>
      <c r="AC807" s="423"/>
      <c r="AD807" s="423"/>
      <c r="AE807" s="423"/>
      <c r="AF807" s="423"/>
      <c r="AG807" s="423"/>
      <c r="AH807" s="423"/>
      <c r="AI807" s="423"/>
      <c r="AJ807" s="423"/>
      <c r="AK807" s="423"/>
      <c r="AL807" s="423"/>
      <c r="AM807" s="423"/>
      <c r="AN807" s="421" t="s">
        <v>907</v>
      </c>
      <c r="AO807" s="421"/>
      <c r="AP807" s="421"/>
      <c r="AQ807" s="421"/>
      <c r="AR807" s="421"/>
      <c r="AS807" s="421"/>
      <c r="AW807" s="35"/>
      <c r="AX807" s="35"/>
    </row>
    <row r="808" spans="1:50" ht="14.25" customHeight="1" x14ac:dyDescent="0.2">
      <c r="A808" s="30"/>
      <c r="B808" s="30"/>
      <c r="C808" s="424" t="s">
        <v>1088</v>
      </c>
      <c r="D808" s="424"/>
      <c r="E808" s="424"/>
      <c r="F808" s="424"/>
      <c r="G808" s="424"/>
      <c r="H808" s="424"/>
      <c r="I808" s="424"/>
      <c r="J808" s="424"/>
      <c r="K808" s="424"/>
      <c r="L808" s="424"/>
      <c r="M808" s="424"/>
      <c r="N808" s="424"/>
      <c r="O808" s="424"/>
      <c r="P808" s="424"/>
      <c r="Q808" s="424"/>
      <c r="R808" s="424"/>
      <c r="S808" s="424"/>
      <c r="T808" s="424"/>
      <c r="U808" s="424"/>
      <c r="V808" s="424"/>
      <c r="W808" s="424"/>
      <c r="X808" s="424"/>
      <c r="Y808" s="424"/>
      <c r="Z808" s="424"/>
      <c r="AA808" s="424"/>
      <c r="AB808" s="424"/>
      <c r="AC808" s="424"/>
      <c r="AD808" s="424"/>
      <c r="AE808" s="424"/>
      <c r="AF808" s="424"/>
      <c r="AG808" s="424"/>
      <c r="AH808" s="424"/>
      <c r="AI808" s="424"/>
      <c r="AJ808" s="424"/>
      <c r="AK808" s="424"/>
      <c r="AL808" s="424"/>
      <c r="AM808" s="424"/>
      <c r="AN808" s="377">
        <v>84000</v>
      </c>
      <c r="AO808" s="378"/>
      <c r="AP808" s="378"/>
      <c r="AQ808" s="378"/>
      <c r="AR808" s="378"/>
      <c r="AS808" s="379"/>
      <c r="AW808" s="35"/>
      <c r="AX808" s="35"/>
    </row>
    <row r="809" spans="1:50" ht="14.25" customHeight="1" x14ac:dyDescent="0.2">
      <c r="A809" s="30"/>
      <c r="B809" s="30"/>
      <c r="C809" s="333" t="s">
        <v>737</v>
      </c>
      <c r="D809" s="333"/>
      <c r="E809" s="333"/>
      <c r="F809" s="333"/>
      <c r="G809" s="333"/>
      <c r="H809" s="333"/>
      <c r="I809" s="333"/>
      <c r="J809" s="333"/>
      <c r="K809" s="333"/>
      <c r="L809" s="333"/>
      <c r="M809" s="333"/>
      <c r="N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333"/>
      <c r="AA809" s="333"/>
      <c r="AB809" s="333"/>
      <c r="AC809" s="333"/>
      <c r="AD809" s="333"/>
      <c r="AE809" s="333"/>
      <c r="AF809" s="333"/>
      <c r="AG809" s="333"/>
      <c r="AH809" s="333"/>
      <c r="AI809" s="333"/>
      <c r="AJ809" s="333"/>
      <c r="AK809" s="333"/>
      <c r="AL809" s="333"/>
      <c r="AM809" s="333"/>
      <c r="AN809" s="377">
        <v>5160</v>
      </c>
      <c r="AO809" s="378"/>
      <c r="AP809" s="378"/>
      <c r="AQ809" s="378"/>
      <c r="AR809" s="378"/>
      <c r="AS809" s="379"/>
      <c r="AW809" s="35"/>
      <c r="AX809" s="35"/>
    </row>
    <row r="810" spans="1:50" ht="14.25" customHeight="1" x14ac:dyDescent="0.2">
      <c r="A810" s="30"/>
      <c r="B810" s="30"/>
      <c r="C810" s="333" t="s">
        <v>738</v>
      </c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333"/>
      <c r="AA810" s="333"/>
      <c r="AB810" s="333"/>
      <c r="AC810" s="333"/>
      <c r="AD810" s="333"/>
      <c r="AE810" s="333"/>
      <c r="AF810" s="333"/>
      <c r="AG810" s="333"/>
      <c r="AH810" s="333"/>
      <c r="AI810" s="333"/>
      <c r="AJ810" s="333"/>
      <c r="AK810" s="333"/>
      <c r="AL810" s="333"/>
      <c r="AM810" s="333"/>
      <c r="AN810" s="377">
        <v>5160</v>
      </c>
      <c r="AO810" s="378"/>
      <c r="AP810" s="378"/>
      <c r="AQ810" s="378"/>
      <c r="AR810" s="378"/>
      <c r="AS810" s="379"/>
      <c r="AW810" s="35"/>
      <c r="AX810" s="35"/>
    </row>
    <row r="811" spans="1:50" ht="14.25" customHeight="1" x14ac:dyDescent="0.2">
      <c r="A811" s="30"/>
      <c r="B811" s="30"/>
      <c r="C811" s="333" t="s">
        <v>739</v>
      </c>
      <c r="D811" s="333"/>
      <c r="E811" s="333"/>
      <c r="F811" s="333"/>
      <c r="G811" s="333"/>
      <c r="H811" s="333"/>
      <c r="I811" s="333"/>
      <c r="J811" s="333"/>
      <c r="K811" s="333"/>
      <c r="L811" s="333"/>
      <c r="M811" s="333"/>
      <c r="N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333"/>
      <c r="AA811" s="333"/>
      <c r="AB811" s="333"/>
      <c r="AC811" s="333"/>
      <c r="AD811" s="333"/>
      <c r="AE811" s="333"/>
      <c r="AF811" s="333"/>
      <c r="AG811" s="333"/>
      <c r="AH811" s="333"/>
      <c r="AI811" s="333"/>
      <c r="AJ811" s="333"/>
      <c r="AK811" s="333"/>
      <c r="AL811" s="333"/>
      <c r="AM811" s="333"/>
      <c r="AN811" s="377">
        <v>5160</v>
      </c>
      <c r="AO811" s="378"/>
      <c r="AP811" s="378"/>
      <c r="AQ811" s="378"/>
      <c r="AR811" s="378"/>
      <c r="AS811" s="379"/>
      <c r="AW811" s="35"/>
      <c r="AX811" s="35"/>
    </row>
    <row r="812" spans="1:50" ht="14.25" customHeight="1" x14ac:dyDescent="0.2">
      <c r="A812" s="30"/>
      <c r="B812" s="30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56"/>
      <c r="AO812" s="156"/>
      <c r="AP812" s="156"/>
      <c r="AQ812" s="156"/>
      <c r="AR812" s="156"/>
      <c r="AS812" s="156"/>
      <c r="AW812" s="35"/>
      <c r="AX812" s="35"/>
    </row>
    <row r="813" spans="1:50" ht="14.25" customHeight="1" x14ac:dyDescent="0.2">
      <c r="A813" s="30"/>
      <c r="B813" s="30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56"/>
      <c r="AO813" s="156"/>
      <c r="AP813" s="156"/>
      <c r="AQ813" s="156"/>
      <c r="AR813" s="156"/>
      <c r="AS813" s="156"/>
      <c r="AW813" s="35"/>
      <c r="AX813" s="35"/>
    </row>
    <row r="814" spans="1:50" ht="24" customHeight="1" x14ac:dyDescent="0.25">
      <c r="A814" s="26"/>
      <c r="B814" s="26"/>
      <c r="C814" s="132" t="s">
        <v>587</v>
      </c>
      <c r="D814" s="145"/>
      <c r="E814" s="145"/>
      <c r="F814" s="145"/>
      <c r="G814" s="146"/>
      <c r="H814" s="146"/>
      <c r="I814" s="146"/>
      <c r="J814" s="146"/>
      <c r="K814" s="146"/>
      <c r="L814" s="146"/>
      <c r="M814" s="146"/>
      <c r="N814" s="146"/>
      <c r="O814" s="146"/>
      <c r="P814" s="146"/>
      <c r="Q814" s="146"/>
      <c r="R814" s="146"/>
      <c r="S814" s="147"/>
      <c r="T814" s="146"/>
      <c r="U814" s="146"/>
      <c r="V814" s="147"/>
      <c r="W814" s="146"/>
      <c r="X814" s="146"/>
      <c r="Y814" s="147"/>
      <c r="Z814" s="146"/>
      <c r="AA814" s="146"/>
      <c r="AB814" s="147"/>
      <c r="AC814" s="146"/>
      <c r="AD814" s="146"/>
      <c r="AE814" s="147"/>
      <c r="AF814" s="146"/>
      <c r="AG814" s="146"/>
      <c r="AH814" s="147"/>
      <c r="AI814" s="146"/>
      <c r="AJ814" s="146"/>
      <c r="AK814" s="147"/>
      <c r="AL814" s="146"/>
      <c r="AM814" s="146"/>
      <c r="AN814" s="147"/>
      <c r="AO814" s="146"/>
      <c r="AP814" s="146"/>
      <c r="AQ814" s="147"/>
      <c r="AR814" s="146"/>
      <c r="AS814" s="146"/>
      <c r="AW814" s="35"/>
      <c r="AX814" s="35"/>
    </row>
    <row r="815" spans="1:50" ht="13.5" customHeight="1" x14ac:dyDescent="0.25"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53"/>
      <c r="T815" s="65"/>
      <c r="U815" s="65"/>
      <c r="V815" s="53"/>
      <c r="W815" s="65"/>
      <c r="X815" s="65"/>
      <c r="Y815" s="53"/>
      <c r="Z815" s="65"/>
      <c r="AA815" s="65"/>
      <c r="AB815" s="53"/>
      <c r="AC815" s="65"/>
      <c r="AD815" s="65"/>
      <c r="AE815" s="53"/>
      <c r="AF815" s="65"/>
      <c r="AG815" s="65"/>
      <c r="AH815" s="53"/>
      <c r="AI815" s="65"/>
      <c r="AJ815" s="65"/>
      <c r="AK815" s="53"/>
      <c r="AL815" s="65"/>
      <c r="AM815" s="65"/>
      <c r="AN815" s="53"/>
      <c r="AO815" s="65"/>
      <c r="AP815" s="65"/>
      <c r="AQ815" s="53"/>
      <c r="AR815" s="65"/>
      <c r="AS815" s="65"/>
      <c r="AW815" s="35"/>
      <c r="AX815" s="35"/>
    </row>
    <row r="816" spans="1:50" s="35" customFormat="1" ht="15" customHeight="1" x14ac:dyDescent="0.25">
      <c r="A816" s="131"/>
      <c r="B816" s="26"/>
      <c r="C816" s="406" t="s">
        <v>867</v>
      </c>
      <c r="D816" s="406"/>
      <c r="E816" s="406"/>
      <c r="F816" s="406"/>
      <c r="G816" s="406"/>
      <c r="H816" s="406"/>
      <c r="I816" s="406"/>
      <c r="J816" s="406"/>
      <c r="K816" s="406"/>
      <c r="L816" s="406"/>
      <c r="M816" s="406"/>
      <c r="N816" s="406"/>
      <c r="O816" s="406"/>
      <c r="P816" s="406"/>
      <c r="Q816" s="406"/>
      <c r="R816" s="406"/>
      <c r="S816" s="406"/>
      <c r="T816" s="406"/>
      <c r="U816" s="406"/>
      <c r="V816" s="406"/>
      <c r="W816" s="406"/>
      <c r="X816" s="406"/>
      <c r="Y816" s="406"/>
      <c r="Z816" s="406"/>
      <c r="AA816" s="406"/>
      <c r="AB816" s="406"/>
      <c r="AC816" s="406"/>
      <c r="AD816" s="406"/>
      <c r="AE816" s="406"/>
      <c r="AF816" s="406"/>
      <c r="AG816" s="406"/>
      <c r="AH816" s="406"/>
      <c r="AI816" s="406"/>
      <c r="AJ816" s="406"/>
      <c r="AK816" s="406"/>
      <c r="AL816" s="406"/>
      <c r="AM816" s="406"/>
      <c r="AN816" s="406"/>
      <c r="AO816" s="406"/>
      <c r="AP816" s="406"/>
      <c r="AQ816" s="406"/>
      <c r="AR816" s="406"/>
      <c r="AS816" s="406"/>
    </row>
    <row r="817" spans="1:50" s="19" customFormat="1" ht="14.25" customHeight="1" x14ac:dyDescent="0.2">
      <c r="C817" s="452" t="s">
        <v>80</v>
      </c>
      <c r="D817" s="452"/>
      <c r="E817" s="452"/>
      <c r="F817" s="452"/>
      <c r="G817" s="452"/>
      <c r="H817" s="452"/>
      <c r="I817" s="452"/>
      <c r="J817" s="452"/>
      <c r="K817" s="452"/>
      <c r="L817" s="452"/>
      <c r="M817" s="452"/>
      <c r="N817" s="452"/>
      <c r="O817" s="452"/>
      <c r="P817" s="452"/>
      <c r="Q817" s="452"/>
      <c r="R817" s="452"/>
      <c r="S817" s="452"/>
      <c r="T817" s="452"/>
      <c r="U817" s="452"/>
      <c r="V817" s="452"/>
      <c r="W817" s="452"/>
      <c r="X817" s="452"/>
      <c r="Y817" s="452"/>
      <c r="Z817" s="452"/>
      <c r="AA817" s="452"/>
      <c r="AB817" s="452"/>
      <c r="AC817" s="452"/>
      <c r="AD817" s="452"/>
      <c r="AE817" s="452"/>
      <c r="AF817" s="452"/>
      <c r="AG817" s="452"/>
      <c r="AH817" s="391" t="s">
        <v>907</v>
      </c>
      <c r="AI817" s="391"/>
      <c r="AJ817" s="391"/>
      <c r="AK817" s="391"/>
      <c r="AL817" s="391"/>
      <c r="AM817" s="391"/>
      <c r="AN817" s="391"/>
      <c r="AO817" s="391"/>
      <c r="AP817" s="391"/>
      <c r="AQ817" s="391"/>
      <c r="AR817" s="391"/>
      <c r="AS817" s="391"/>
      <c r="AW817" s="25"/>
      <c r="AX817" s="25"/>
    </row>
    <row r="818" spans="1:50" ht="15" customHeight="1" x14ac:dyDescent="0.2">
      <c r="A818" s="30"/>
      <c r="B818" s="30"/>
      <c r="C818" s="388" t="s">
        <v>551</v>
      </c>
      <c r="D818" s="388"/>
      <c r="E818" s="388"/>
      <c r="F818" s="388"/>
      <c r="G818" s="388"/>
      <c r="H818" s="388"/>
      <c r="I818" s="388"/>
      <c r="J818" s="388"/>
      <c r="K818" s="388"/>
      <c r="L818" s="388"/>
      <c r="M818" s="388"/>
      <c r="N818" s="388"/>
      <c r="O818" s="388"/>
      <c r="P818" s="388"/>
      <c r="Q818" s="388"/>
      <c r="R818" s="388"/>
      <c r="S818" s="388"/>
      <c r="T818" s="388"/>
      <c r="U818" s="388"/>
      <c r="V818" s="388"/>
      <c r="W818" s="388"/>
      <c r="X818" s="388"/>
      <c r="Y818" s="388"/>
      <c r="Z818" s="388"/>
      <c r="AA818" s="388"/>
      <c r="AB818" s="388"/>
      <c r="AC818" s="388"/>
      <c r="AD818" s="388"/>
      <c r="AE818" s="388"/>
      <c r="AF818" s="388"/>
      <c r="AG818" s="388"/>
      <c r="AH818" s="430" t="s">
        <v>881</v>
      </c>
      <c r="AI818" s="431"/>
      <c r="AJ818" s="431"/>
      <c r="AK818" s="431"/>
      <c r="AL818" s="431"/>
      <c r="AM818" s="431"/>
      <c r="AN818" s="431"/>
      <c r="AO818" s="431"/>
      <c r="AP818" s="431"/>
      <c r="AQ818" s="431"/>
      <c r="AR818" s="431"/>
      <c r="AS818" s="432"/>
      <c r="AW818" s="35"/>
      <c r="AX818" s="35"/>
    </row>
    <row r="819" spans="1:50" ht="15" customHeight="1" x14ac:dyDescent="0.2">
      <c r="A819" s="30"/>
      <c r="B819" s="30"/>
      <c r="C819" s="453" t="s">
        <v>552</v>
      </c>
      <c r="D819" s="453"/>
      <c r="E819" s="453"/>
      <c r="F819" s="453"/>
      <c r="G819" s="453"/>
      <c r="H819" s="453"/>
      <c r="I819" s="453"/>
      <c r="J819" s="453"/>
      <c r="K819" s="453"/>
      <c r="L819" s="453"/>
      <c r="M819" s="453"/>
      <c r="N819" s="453"/>
      <c r="O819" s="453"/>
      <c r="P819" s="453"/>
      <c r="Q819" s="453"/>
      <c r="R819" s="453"/>
      <c r="S819" s="453"/>
      <c r="T819" s="453"/>
      <c r="U819" s="453"/>
      <c r="V819" s="453"/>
      <c r="W819" s="453"/>
      <c r="X819" s="453"/>
      <c r="Y819" s="453"/>
      <c r="Z819" s="453"/>
      <c r="AA819" s="453"/>
      <c r="AB819" s="453"/>
      <c r="AC819" s="453"/>
      <c r="AD819" s="453"/>
      <c r="AE819" s="453"/>
      <c r="AF819" s="453"/>
      <c r="AG819" s="453"/>
      <c r="AH819" s="430" t="s">
        <v>881</v>
      </c>
      <c r="AI819" s="431"/>
      <c r="AJ819" s="431"/>
      <c r="AK819" s="431"/>
      <c r="AL819" s="431"/>
      <c r="AM819" s="431"/>
      <c r="AN819" s="431"/>
      <c r="AO819" s="431"/>
      <c r="AP819" s="431"/>
      <c r="AQ819" s="431"/>
      <c r="AR819" s="431"/>
      <c r="AS819" s="432"/>
      <c r="AW819" s="35"/>
      <c r="AX819" s="35"/>
    </row>
    <row r="820" spans="1:50" ht="15" customHeight="1" x14ac:dyDescent="0.2">
      <c r="A820" s="30"/>
      <c r="B820" s="30"/>
      <c r="C820" s="453" t="s">
        <v>553</v>
      </c>
      <c r="D820" s="453"/>
      <c r="E820" s="453"/>
      <c r="F820" s="453"/>
      <c r="G820" s="453"/>
      <c r="H820" s="453"/>
      <c r="I820" s="453"/>
      <c r="J820" s="453"/>
      <c r="K820" s="453"/>
      <c r="L820" s="453"/>
      <c r="M820" s="453"/>
      <c r="N820" s="453"/>
      <c r="O820" s="453"/>
      <c r="P820" s="453"/>
      <c r="Q820" s="453"/>
      <c r="R820" s="453"/>
      <c r="S820" s="453"/>
      <c r="T820" s="453"/>
      <c r="U820" s="453"/>
      <c r="V820" s="453"/>
      <c r="W820" s="453"/>
      <c r="X820" s="453"/>
      <c r="Y820" s="453"/>
      <c r="Z820" s="453"/>
      <c r="AA820" s="453"/>
      <c r="AB820" s="453"/>
      <c r="AC820" s="453"/>
      <c r="AD820" s="453"/>
      <c r="AE820" s="453"/>
      <c r="AF820" s="453"/>
      <c r="AG820" s="453"/>
      <c r="AH820" s="430" t="s">
        <v>881</v>
      </c>
      <c r="AI820" s="431"/>
      <c r="AJ820" s="431"/>
      <c r="AK820" s="431"/>
      <c r="AL820" s="431"/>
      <c r="AM820" s="431"/>
      <c r="AN820" s="431"/>
      <c r="AO820" s="431"/>
      <c r="AP820" s="431"/>
      <c r="AQ820" s="431"/>
      <c r="AR820" s="431"/>
      <c r="AS820" s="432"/>
      <c r="AW820" s="35"/>
      <c r="AX820" s="35"/>
    </row>
    <row r="821" spans="1:50" ht="15" customHeight="1" x14ac:dyDescent="0.2">
      <c r="A821" s="30"/>
      <c r="B821" s="30"/>
      <c r="C821" s="453" t="s">
        <v>554</v>
      </c>
      <c r="D821" s="453"/>
      <c r="E821" s="453"/>
      <c r="F821" s="453"/>
      <c r="G821" s="453"/>
      <c r="H821" s="453"/>
      <c r="I821" s="453"/>
      <c r="J821" s="453"/>
      <c r="K821" s="453"/>
      <c r="L821" s="453"/>
      <c r="M821" s="453"/>
      <c r="N821" s="453"/>
      <c r="O821" s="453"/>
      <c r="P821" s="453"/>
      <c r="Q821" s="453"/>
      <c r="R821" s="453"/>
      <c r="S821" s="453"/>
      <c r="T821" s="453"/>
      <c r="U821" s="453"/>
      <c r="V821" s="453"/>
      <c r="W821" s="453"/>
      <c r="X821" s="453"/>
      <c r="Y821" s="453"/>
      <c r="Z821" s="453"/>
      <c r="AA821" s="453"/>
      <c r="AB821" s="453"/>
      <c r="AC821" s="453"/>
      <c r="AD821" s="453"/>
      <c r="AE821" s="453"/>
      <c r="AF821" s="453"/>
      <c r="AG821" s="453"/>
      <c r="AH821" s="430" t="s">
        <v>881</v>
      </c>
      <c r="AI821" s="431"/>
      <c r="AJ821" s="431"/>
      <c r="AK821" s="431"/>
      <c r="AL821" s="431"/>
      <c r="AM821" s="431"/>
      <c r="AN821" s="431"/>
      <c r="AO821" s="431"/>
      <c r="AP821" s="431"/>
      <c r="AQ821" s="431"/>
      <c r="AR821" s="431"/>
      <c r="AS821" s="432"/>
      <c r="AW821" s="35"/>
      <c r="AX821" s="35"/>
    </row>
    <row r="822" spans="1:50" ht="15" customHeight="1" x14ac:dyDescent="0.2">
      <c r="A822" s="30"/>
      <c r="B822" s="30"/>
      <c r="C822" s="453" t="s">
        <v>555</v>
      </c>
      <c r="D822" s="453"/>
      <c r="E822" s="453"/>
      <c r="F822" s="453"/>
      <c r="G822" s="453"/>
      <c r="H822" s="453"/>
      <c r="I822" s="453"/>
      <c r="J822" s="453"/>
      <c r="K822" s="453"/>
      <c r="L822" s="453"/>
      <c r="M822" s="453"/>
      <c r="N822" s="453"/>
      <c r="O822" s="453"/>
      <c r="P822" s="453"/>
      <c r="Q822" s="453"/>
      <c r="R822" s="453"/>
      <c r="S822" s="453"/>
      <c r="T822" s="453"/>
      <c r="U822" s="453"/>
      <c r="V822" s="453"/>
      <c r="W822" s="453"/>
      <c r="X822" s="453"/>
      <c r="Y822" s="453"/>
      <c r="Z822" s="453"/>
      <c r="AA822" s="453"/>
      <c r="AB822" s="453"/>
      <c r="AC822" s="453"/>
      <c r="AD822" s="453"/>
      <c r="AE822" s="453"/>
      <c r="AF822" s="453"/>
      <c r="AG822" s="453"/>
      <c r="AH822" s="430" t="s">
        <v>881</v>
      </c>
      <c r="AI822" s="431"/>
      <c r="AJ822" s="431"/>
      <c r="AK822" s="431"/>
      <c r="AL822" s="431"/>
      <c r="AM822" s="431"/>
      <c r="AN822" s="431"/>
      <c r="AO822" s="431"/>
      <c r="AP822" s="431"/>
      <c r="AQ822" s="431"/>
      <c r="AR822" s="431"/>
      <c r="AS822" s="432"/>
      <c r="AW822" s="35"/>
      <c r="AX822" s="35"/>
    </row>
    <row r="823" spans="1:50" ht="15" customHeight="1" x14ac:dyDescent="0.2">
      <c r="A823" s="30"/>
      <c r="B823" s="30"/>
      <c r="C823" s="453" t="s">
        <v>556</v>
      </c>
      <c r="D823" s="453"/>
      <c r="E823" s="453"/>
      <c r="F823" s="453"/>
      <c r="G823" s="453"/>
      <c r="H823" s="453"/>
      <c r="I823" s="453"/>
      <c r="J823" s="453"/>
      <c r="K823" s="453"/>
      <c r="L823" s="453"/>
      <c r="M823" s="453"/>
      <c r="N823" s="453"/>
      <c r="O823" s="453"/>
      <c r="P823" s="453"/>
      <c r="Q823" s="453"/>
      <c r="R823" s="453"/>
      <c r="S823" s="453"/>
      <c r="T823" s="453"/>
      <c r="U823" s="453"/>
      <c r="V823" s="453"/>
      <c r="W823" s="453"/>
      <c r="X823" s="453"/>
      <c r="Y823" s="453"/>
      <c r="Z823" s="453"/>
      <c r="AA823" s="453"/>
      <c r="AB823" s="453"/>
      <c r="AC823" s="453"/>
      <c r="AD823" s="453"/>
      <c r="AE823" s="453"/>
      <c r="AF823" s="453"/>
      <c r="AG823" s="453"/>
      <c r="AH823" s="430" t="s">
        <v>881</v>
      </c>
      <c r="AI823" s="431"/>
      <c r="AJ823" s="431"/>
      <c r="AK823" s="431"/>
      <c r="AL823" s="431"/>
      <c r="AM823" s="431"/>
      <c r="AN823" s="431"/>
      <c r="AO823" s="431"/>
      <c r="AP823" s="431"/>
      <c r="AQ823" s="431"/>
      <c r="AR823" s="431"/>
      <c r="AS823" s="432"/>
      <c r="AW823" s="35"/>
      <c r="AX823" s="35"/>
    </row>
    <row r="824" spans="1:50" ht="15" customHeight="1" x14ac:dyDescent="0.2">
      <c r="A824" s="30"/>
      <c r="B824" s="30"/>
      <c r="C824" s="453" t="s">
        <v>557</v>
      </c>
      <c r="D824" s="453"/>
      <c r="E824" s="453"/>
      <c r="F824" s="453"/>
      <c r="G824" s="453"/>
      <c r="H824" s="453"/>
      <c r="I824" s="453"/>
      <c r="J824" s="453"/>
      <c r="K824" s="453"/>
      <c r="L824" s="453"/>
      <c r="M824" s="453"/>
      <c r="N824" s="453"/>
      <c r="O824" s="453"/>
      <c r="P824" s="453"/>
      <c r="Q824" s="453"/>
      <c r="R824" s="453"/>
      <c r="S824" s="453"/>
      <c r="T824" s="453"/>
      <c r="U824" s="453"/>
      <c r="V824" s="453"/>
      <c r="W824" s="453"/>
      <c r="X824" s="453"/>
      <c r="Y824" s="453"/>
      <c r="Z824" s="453"/>
      <c r="AA824" s="453"/>
      <c r="AB824" s="453"/>
      <c r="AC824" s="453"/>
      <c r="AD824" s="453"/>
      <c r="AE824" s="453"/>
      <c r="AF824" s="453"/>
      <c r="AG824" s="453"/>
      <c r="AH824" s="430" t="s">
        <v>881</v>
      </c>
      <c r="AI824" s="431"/>
      <c r="AJ824" s="431"/>
      <c r="AK824" s="431"/>
      <c r="AL824" s="431"/>
      <c r="AM824" s="431"/>
      <c r="AN824" s="431"/>
      <c r="AO824" s="431"/>
      <c r="AP824" s="431"/>
      <c r="AQ824" s="431"/>
      <c r="AR824" s="431"/>
      <c r="AS824" s="432"/>
      <c r="AW824" s="35"/>
      <c r="AX824" s="35"/>
    </row>
    <row r="825" spans="1:50" ht="15" customHeight="1" x14ac:dyDescent="0.2">
      <c r="A825" s="30"/>
      <c r="B825" s="30"/>
      <c r="C825" s="453" t="s">
        <v>558</v>
      </c>
      <c r="D825" s="453"/>
      <c r="E825" s="453"/>
      <c r="F825" s="453"/>
      <c r="G825" s="453"/>
      <c r="H825" s="453"/>
      <c r="I825" s="453"/>
      <c r="J825" s="453"/>
      <c r="K825" s="453"/>
      <c r="L825" s="453"/>
      <c r="M825" s="453"/>
      <c r="N825" s="453"/>
      <c r="O825" s="453"/>
      <c r="P825" s="453"/>
      <c r="Q825" s="453"/>
      <c r="R825" s="453"/>
      <c r="S825" s="453"/>
      <c r="T825" s="453"/>
      <c r="U825" s="453"/>
      <c r="V825" s="453"/>
      <c r="W825" s="453"/>
      <c r="X825" s="453"/>
      <c r="Y825" s="453"/>
      <c r="Z825" s="453"/>
      <c r="AA825" s="453"/>
      <c r="AB825" s="453"/>
      <c r="AC825" s="453"/>
      <c r="AD825" s="453"/>
      <c r="AE825" s="453"/>
      <c r="AF825" s="453"/>
      <c r="AG825" s="453"/>
      <c r="AH825" s="430" t="s">
        <v>881</v>
      </c>
      <c r="AI825" s="431"/>
      <c r="AJ825" s="431"/>
      <c r="AK825" s="431"/>
      <c r="AL825" s="431"/>
      <c r="AM825" s="431"/>
      <c r="AN825" s="431"/>
      <c r="AO825" s="431"/>
      <c r="AP825" s="431"/>
      <c r="AQ825" s="431"/>
      <c r="AR825" s="431"/>
      <c r="AS825" s="432"/>
      <c r="AW825" s="35"/>
      <c r="AX825" s="35"/>
    </row>
    <row r="826" spans="1:50" s="25" customFormat="1" ht="15" customHeight="1" x14ac:dyDescent="0.2"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</row>
    <row r="827" spans="1:50" ht="15" customHeight="1" x14ac:dyDescent="0.2">
      <c r="A827" s="30"/>
      <c r="B827" s="30"/>
      <c r="C827" s="438" t="s">
        <v>579</v>
      </c>
      <c r="D827" s="438"/>
      <c r="E827" s="438"/>
      <c r="F827" s="438"/>
      <c r="G827" s="438"/>
      <c r="H827" s="438"/>
      <c r="I827" s="438"/>
      <c r="J827" s="438"/>
      <c r="K827" s="438"/>
      <c r="L827" s="438"/>
      <c r="M827" s="438"/>
      <c r="N827" s="438"/>
      <c r="O827" s="438"/>
      <c r="P827" s="438"/>
      <c r="Q827" s="438"/>
      <c r="R827" s="438"/>
      <c r="S827" s="438"/>
      <c r="T827" s="438"/>
      <c r="U827" s="438"/>
      <c r="V827" s="438"/>
      <c r="W827" s="438"/>
      <c r="X827" s="438"/>
      <c r="Y827" s="438"/>
      <c r="Z827" s="438"/>
      <c r="AA827" s="438"/>
      <c r="AB827" s="438"/>
      <c r="AC827" s="438"/>
      <c r="AD827" s="438"/>
      <c r="AE827" s="438"/>
      <c r="AF827" s="438"/>
      <c r="AG827" s="438"/>
      <c r="AH827" s="391" t="s">
        <v>907</v>
      </c>
      <c r="AI827" s="391"/>
      <c r="AJ827" s="391"/>
      <c r="AK827" s="391"/>
      <c r="AL827" s="391"/>
      <c r="AM827" s="391"/>
      <c r="AN827" s="391"/>
      <c r="AO827" s="391"/>
      <c r="AP827" s="391"/>
      <c r="AQ827" s="391"/>
      <c r="AR827" s="391"/>
      <c r="AS827" s="391"/>
      <c r="AW827" s="35"/>
      <c r="AX827" s="35"/>
    </row>
    <row r="828" spans="1:50" ht="15" customHeight="1" x14ac:dyDescent="0.2">
      <c r="A828" s="30"/>
      <c r="B828" s="30"/>
      <c r="C828" s="439" t="s">
        <v>578</v>
      </c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  <c r="N828" s="439"/>
      <c r="O828" s="439"/>
      <c r="P828" s="439"/>
      <c r="Q828" s="439"/>
      <c r="R828" s="439"/>
      <c r="S828" s="439"/>
      <c r="T828" s="439"/>
      <c r="U828" s="439"/>
      <c r="V828" s="439"/>
      <c r="W828" s="439"/>
      <c r="X828" s="439"/>
      <c r="Y828" s="439"/>
      <c r="Z828" s="439"/>
      <c r="AA828" s="439"/>
      <c r="AB828" s="439"/>
      <c r="AC828" s="439"/>
      <c r="AD828" s="439"/>
      <c r="AE828" s="439"/>
      <c r="AF828" s="439"/>
      <c r="AG828" s="439"/>
      <c r="AH828" s="430" t="s">
        <v>881</v>
      </c>
      <c r="AI828" s="431"/>
      <c r="AJ828" s="431"/>
      <c r="AK828" s="431"/>
      <c r="AL828" s="431"/>
      <c r="AM828" s="431"/>
      <c r="AN828" s="431"/>
      <c r="AO828" s="431"/>
      <c r="AP828" s="431"/>
      <c r="AQ828" s="431"/>
      <c r="AR828" s="431"/>
      <c r="AS828" s="432"/>
      <c r="AW828" s="35"/>
      <c r="AX828" s="35"/>
    </row>
    <row r="829" spans="1:50" ht="15" customHeight="1" x14ac:dyDescent="0.2">
      <c r="A829" s="30"/>
      <c r="B829" s="30"/>
      <c r="C829" s="439" t="s">
        <v>573</v>
      </c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  <c r="N829" s="439"/>
      <c r="O829" s="439"/>
      <c r="P829" s="439"/>
      <c r="Q829" s="439"/>
      <c r="R829" s="439"/>
      <c r="S829" s="439"/>
      <c r="T829" s="439"/>
      <c r="U829" s="439"/>
      <c r="V829" s="439"/>
      <c r="W829" s="439"/>
      <c r="X829" s="439"/>
      <c r="Y829" s="439"/>
      <c r="Z829" s="439"/>
      <c r="AA829" s="439"/>
      <c r="AB829" s="439"/>
      <c r="AC829" s="439"/>
      <c r="AD829" s="439"/>
      <c r="AE829" s="439"/>
      <c r="AF829" s="439"/>
      <c r="AG829" s="439"/>
      <c r="AH829" s="430" t="s">
        <v>881</v>
      </c>
      <c r="AI829" s="431"/>
      <c r="AJ829" s="431"/>
      <c r="AK829" s="431"/>
      <c r="AL829" s="431"/>
      <c r="AM829" s="431"/>
      <c r="AN829" s="431"/>
      <c r="AO829" s="431"/>
      <c r="AP829" s="431"/>
      <c r="AQ829" s="431"/>
      <c r="AR829" s="431"/>
      <c r="AS829" s="432"/>
      <c r="AW829" s="35"/>
      <c r="AX829" s="35"/>
    </row>
    <row r="830" spans="1:50" ht="15" customHeight="1" x14ac:dyDescent="0.2">
      <c r="A830" s="30"/>
      <c r="B830" s="30"/>
      <c r="C830" s="439" t="s">
        <v>574</v>
      </c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439"/>
      <c r="Y830" s="439"/>
      <c r="Z830" s="439"/>
      <c r="AA830" s="439"/>
      <c r="AB830" s="439"/>
      <c r="AC830" s="439"/>
      <c r="AD830" s="439"/>
      <c r="AE830" s="439"/>
      <c r="AF830" s="439"/>
      <c r="AG830" s="439"/>
      <c r="AH830" s="430" t="s">
        <v>881</v>
      </c>
      <c r="AI830" s="431"/>
      <c r="AJ830" s="431"/>
      <c r="AK830" s="431"/>
      <c r="AL830" s="431"/>
      <c r="AM830" s="431"/>
      <c r="AN830" s="431"/>
      <c r="AO830" s="431"/>
      <c r="AP830" s="431"/>
      <c r="AQ830" s="431"/>
      <c r="AR830" s="431"/>
      <c r="AS830" s="432"/>
      <c r="AW830" s="35"/>
      <c r="AX830" s="35"/>
    </row>
    <row r="831" spans="1:50" ht="15" customHeight="1" x14ac:dyDescent="0.2">
      <c r="A831" s="30"/>
      <c r="B831" s="30"/>
      <c r="C831" s="439" t="s">
        <v>575</v>
      </c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  <c r="N831" s="439"/>
      <c r="O831" s="439"/>
      <c r="P831" s="439"/>
      <c r="Q831" s="439"/>
      <c r="R831" s="439"/>
      <c r="S831" s="439"/>
      <c r="T831" s="439"/>
      <c r="U831" s="439"/>
      <c r="V831" s="439"/>
      <c r="W831" s="439"/>
      <c r="X831" s="439"/>
      <c r="Y831" s="439"/>
      <c r="Z831" s="439"/>
      <c r="AA831" s="439"/>
      <c r="AB831" s="439"/>
      <c r="AC831" s="439"/>
      <c r="AD831" s="439"/>
      <c r="AE831" s="439"/>
      <c r="AF831" s="439"/>
      <c r="AG831" s="439"/>
      <c r="AH831" s="430" t="s">
        <v>881</v>
      </c>
      <c r="AI831" s="431"/>
      <c r="AJ831" s="431"/>
      <c r="AK831" s="431"/>
      <c r="AL831" s="431"/>
      <c r="AM831" s="431"/>
      <c r="AN831" s="431"/>
      <c r="AO831" s="431"/>
      <c r="AP831" s="431"/>
      <c r="AQ831" s="431"/>
      <c r="AR831" s="431"/>
      <c r="AS831" s="432"/>
      <c r="AW831" s="35"/>
      <c r="AX831" s="35"/>
    </row>
    <row r="832" spans="1:50" ht="15" customHeight="1" x14ac:dyDescent="0.2">
      <c r="A832" s="30"/>
      <c r="B832" s="30"/>
      <c r="C832" s="439" t="s">
        <v>576</v>
      </c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  <c r="N832" s="439"/>
      <c r="O832" s="439"/>
      <c r="P832" s="439"/>
      <c r="Q832" s="439"/>
      <c r="R832" s="439"/>
      <c r="S832" s="439"/>
      <c r="T832" s="439"/>
      <c r="U832" s="439"/>
      <c r="V832" s="439"/>
      <c r="W832" s="439"/>
      <c r="X832" s="439"/>
      <c r="Y832" s="439"/>
      <c r="Z832" s="439"/>
      <c r="AA832" s="439"/>
      <c r="AB832" s="439"/>
      <c r="AC832" s="439"/>
      <c r="AD832" s="439"/>
      <c r="AE832" s="439"/>
      <c r="AF832" s="439"/>
      <c r="AG832" s="439"/>
      <c r="AH832" s="430" t="s">
        <v>881</v>
      </c>
      <c r="AI832" s="431"/>
      <c r="AJ832" s="431"/>
      <c r="AK832" s="431"/>
      <c r="AL832" s="431"/>
      <c r="AM832" s="431"/>
      <c r="AN832" s="431"/>
      <c r="AO832" s="431"/>
      <c r="AP832" s="431"/>
      <c r="AQ832" s="431"/>
      <c r="AR832" s="431"/>
      <c r="AS832" s="432"/>
      <c r="AW832" s="35"/>
      <c r="AX832" s="35"/>
    </row>
    <row r="833" spans="1:50" ht="15" customHeight="1" x14ac:dyDescent="0.2">
      <c r="A833" s="30"/>
      <c r="B833" s="30"/>
      <c r="C833" s="439" t="s">
        <v>577</v>
      </c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  <c r="N833" s="439"/>
      <c r="O833" s="439"/>
      <c r="P833" s="439"/>
      <c r="Q833" s="439"/>
      <c r="R833" s="439"/>
      <c r="S833" s="439"/>
      <c r="T833" s="439"/>
      <c r="U833" s="439"/>
      <c r="V833" s="439"/>
      <c r="W833" s="439"/>
      <c r="X833" s="439"/>
      <c r="Y833" s="439"/>
      <c r="Z833" s="439"/>
      <c r="AA833" s="439"/>
      <c r="AB833" s="439"/>
      <c r="AC833" s="439"/>
      <c r="AD833" s="439"/>
      <c r="AE833" s="439"/>
      <c r="AF833" s="439"/>
      <c r="AG833" s="439"/>
      <c r="AH833" s="430" t="s">
        <v>881</v>
      </c>
      <c r="AI833" s="431"/>
      <c r="AJ833" s="431"/>
      <c r="AK833" s="431"/>
      <c r="AL833" s="431"/>
      <c r="AM833" s="431"/>
      <c r="AN833" s="431"/>
      <c r="AO833" s="431"/>
      <c r="AP833" s="431"/>
      <c r="AQ833" s="431"/>
      <c r="AR833" s="431"/>
      <c r="AS833" s="432"/>
      <c r="AW833" s="35"/>
      <c r="AX833" s="35"/>
    </row>
    <row r="834" spans="1:50" s="25" customFormat="1" ht="15" customHeight="1" x14ac:dyDescent="0.2">
      <c r="C834" s="152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  <c r="O834" s="152"/>
      <c r="P834" s="152"/>
      <c r="Q834" s="152"/>
      <c r="R834" s="152"/>
      <c r="S834" s="152"/>
      <c r="T834" s="152"/>
      <c r="U834" s="152"/>
      <c r="V834" s="152"/>
      <c r="W834" s="152"/>
      <c r="X834" s="152"/>
      <c r="Y834" s="152"/>
      <c r="Z834" s="152"/>
      <c r="AA834" s="152"/>
      <c r="AB834" s="152"/>
      <c r="AC834" s="152"/>
      <c r="AD834" s="152"/>
      <c r="AE834" s="152"/>
      <c r="AF834" s="152"/>
      <c r="AG834" s="152"/>
      <c r="AH834" s="153"/>
      <c r="AI834" s="153"/>
      <c r="AJ834" s="153"/>
      <c r="AK834" s="153"/>
      <c r="AL834" s="153"/>
      <c r="AM834" s="153"/>
      <c r="AN834" s="153"/>
      <c r="AO834" s="153"/>
      <c r="AP834" s="153"/>
      <c r="AQ834" s="153"/>
      <c r="AR834" s="153"/>
      <c r="AS834" s="153"/>
    </row>
    <row r="835" spans="1:50" ht="15" customHeight="1" x14ac:dyDescent="0.2">
      <c r="A835" s="30"/>
      <c r="B835" s="30"/>
      <c r="C835" s="441" t="s">
        <v>580</v>
      </c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2"/>
      <c r="Z835" s="442"/>
      <c r="AA835" s="442"/>
      <c r="AB835" s="442"/>
      <c r="AC835" s="442"/>
      <c r="AD835" s="442"/>
      <c r="AE835" s="442"/>
      <c r="AF835" s="442"/>
      <c r="AG835" s="443"/>
      <c r="AH835" s="435" t="s">
        <v>907</v>
      </c>
      <c r="AI835" s="436"/>
      <c r="AJ835" s="436"/>
      <c r="AK835" s="436"/>
      <c r="AL835" s="436"/>
      <c r="AM835" s="436"/>
      <c r="AN835" s="436"/>
      <c r="AO835" s="436"/>
      <c r="AP835" s="436"/>
      <c r="AQ835" s="436"/>
      <c r="AR835" s="436"/>
      <c r="AS835" s="437"/>
      <c r="AW835" s="35"/>
      <c r="AX835" s="35"/>
    </row>
    <row r="836" spans="1:50" ht="15" customHeight="1" x14ac:dyDescent="0.2">
      <c r="A836" s="30"/>
      <c r="B836" s="30"/>
      <c r="C836" s="444" t="s">
        <v>559</v>
      </c>
      <c r="D836" s="445"/>
      <c r="E836" s="445"/>
      <c r="F836" s="445"/>
      <c r="G836" s="445"/>
      <c r="H836" s="445"/>
      <c r="I836" s="445"/>
      <c r="J836" s="445"/>
      <c r="K836" s="445"/>
      <c r="L836" s="445"/>
      <c r="M836" s="445"/>
      <c r="N836" s="445"/>
      <c r="O836" s="445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6"/>
      <c r="AH836" s="430" t="s">
        <v>881</v>
      </c>
      <c r="AI836" s="431"/>
      <c r="AJ836" s="431"/>
      <c r="AK836" s="431"/>
      <c r="AL836" s="431"/>
      <c r="AM836" s="431"/>
      <c r="AN836" s="431"/>
      <c r="AO836" s="431"/>
      <c r="AP836" s="431"/>
      <c r="AQ836" s="431"/>
      <c r="AR836" s="431"/>
      <c r="AS836" s="432"/>
      <c r="AW836" s="35"/>
      <c r="AX836" s="35"/>
    </row>
    <row r="837" spans="1:50" ht="15" customHeight="1" x14ac:dyDescent="0.2">
      <c r="A837" s="30"/>
      <c r="B837" s="30"/>
      <c r="C837" s="444" t="s">
        <v>560</v>
      </c>
      <c r="D837" s="445"/>
      <c r="E837" s="445"/>
      <c r="F837" s="445"/>
      <c r="G837" s="445"/>
      <c r="H837" s="445"/>
      <c r="I837" s="445"/>
      <c r="J837" s="445"/>
      <c r="K837" s="445"/>
      <c r="L837" s="445"/>
      <c r="M837" s="445"/>
      <c r="N837" s="445"/>
      <c r="O837" s="445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6"/>
      <c r="AH837" s="430" t="s">
        <v>881</v>
      </c>
      <c r="AI837" s="431"/>
      <c r="AJ837" s="431"/>
      <c r="AK837" s="431"/>
      <c r="AL837" s="431"/>
      <c r="AM837" s="431"/>
      <c r="AN837" s="431"/>
      <c r="AO837" s="431"/>
      <c r="AP837" s="431"/>
      <c r="AQ837" s="431"/>
      <c r="AR837" s="431"/>
      <c r="AS837" s="432"/>
      <c r="AW837" s="35"/>
      <c r="AX837" s="35"/>
    </row>
    <row r="838" spans="1:50" ht="15" customHeight="1" x14ac:dyDescent="0.2">
      <c r="A838" s="30"/>
      <c r="B838" s="30"/>
      <c r="C838" s="447" t="s">
        <v>561</v>
      </c>
      <c r="D838" s="448"/>
      <c r="E838" s="448"/>
      <c r="F838" s="448"/>
      <c r="G838" s="448"/>
      <c r="H838" s="448"/>
      <c r="I838" s="448"/>
      <c r="J838" s="448"/>
      <c r="K838" s="448"/>
      <c r="L838" s="448"/>
      <c r="M838" s="448"/>
      <c r="N838" s="448"/>
      <c r="O838" s="448"/>
      <c r="P838" s="448"/>
      <c r="Q838" s="448"/>
      <c r="R838" s="448"/>
      <c r="S838" s="448"/>
      <c r="T838" s="448"/>
      <c r="U838" s="448"/>
      <c r="V838" s="448"/>
      <c r="W838" s="448"/>
      <c r="X838" s="448"/>
      <c r="Y838" s="448"/>
      <c r="Z838" s="448"/>
      <c r="AA838" s="448"/>
      <c r="AB838" s="448"/>
      <c r="AC838" s="448"/>
      <c r="AD838" s="448"/>
      <c r="AE838" s="448"/>
      <c r="AF838" s="448"/>
      <c r="AG838" s="449"/>
      <c r="AH838" s="430" t="s">
        <v>881</v>
      </c>
      <c r="AI838" s="431"/>
      <c r="AJ838" s="431"/>
      <c r="AK838" s="431"/>
      <c r="AL838" s="431"/>
      <c r="AM838" s="431"/>
      <c r="AN838" s="431"/>
      <c r="AO838" s="431"/>
      <c r="AP838" s="431"/>
      <c r="AQ838" s="431"/>
      <c r="AR838" s="431"/>
      <c r="AS838" s="432"/>
      <c r="AW838" s="35"/>
      <c r="AX838" s="35"/>
    </row>
    <row r="839" spans="1:50" ht="15" customHeight="1" x14ac:dyDescent="0.2">
      <c r="A839" s="30"/>
      <c r="B839" s="30"/>
      <c r="C839" s="450" t="s">
        <v>581</v>
      </c>
      <c r="D839" s="450"/>
      <c r="E839" s="450"/>
      <c r="F839" s="450"/>
      <c r="G839" s="450"/>
      <c r="H839" s="450"/>
      <c r="I839" s="450"/>
      <c r="J839" s="450"/>
      <c r="K839" s="450"/>
      <c r="L839" s="450"/>
      <c r="M839" s="450"/>
      <c r="N839" s="450"/>
      <c r="O839" s="450"/>
      <c r="P839" s="450"/>
      <c r="Q839" s="450"/>
      <c r="R839" s="450"/>
      <c r="S839" s="450"/>
      <c r="T839" s="450"/>
      <c r="U839" s="450"/>
      <c r="V839" s="450"/>
      <c r="W839" s="450"/>
      <c r="X839" s="450"/>
      <c r="Y839" s="450"/>
      <c r="Z839" s="450"/>
      <c r="AA839" s="450"/>
      <c r="AB839" s="450"/>
      <c r="AC839" s="450"/>
      <c r="AD839" s="450"/>
      <c r="AE839" s="450"/>
      <c r="AF839" s="450"/>
      <c r="AG839" s="450"/>
      <c r="AH839" s="391" t="s">
        <v>907</v>
      </c>
      <c r="AI839" s="391"/>
      <c r="AJ839" s="391"/>
      <c r="AK839" s="391"/>
      <c r="AL839" s="391"/>
      <c r="AM839" s="391"/>
      <c r="AN839" s="391"/>
      <c r="AO839" s="391"/>
      <c r="AP839" s="391"/>
      <c r="AQ839" s="391"/>
      <c r="AR839" s="391"/>
      <c r="AS839" s="391"/>
      <c r="AW839" s="35"/>
      <c r="AX839" s="35"/>
    </row>
    <row r="840" spans="1:50" ht="15" customHeight="1" x14ac:dyDescent="0.2">
      <c r="A840" s="30"/>
      <c r="B840" s="30"/>
      <c r="C840" s="451" t="s">
        <v>562</v>
      </c>
      <c r="D840" s="451"/>
      <c r="E840" s="451"/>
      <c r="F840" s="451"/>
      <c r="G840" s="451"/>
      <c r="H840" s="451"/>
      <c r="I840" s="451"/>
      <c r="J840" s="451"/>
      <c r="K840" s="451"/>
      <c r="L840" s="451"/>
      <c r="M840" s="451"/>
      <c r="N840" s="451"/>
      <c r="O840" s="451"/>
      <c r="P840" s="451"/>
      <c r="Q840" s="451"/>
      <c r="R840" s="451"/>
      <c r="S840" s="451"/>
      <c r="T840" s="451"/>
      <c r="U840" s="451"/>
      <c r="V840" s="451"/>
      <c r="W840" s="451"/>
      <c r="X840" s="451"/>
      <c r="Y840" s="451"/>
      <c r="Z840" s="451"/>
      <c r="AA840" s="451"/>
      <c r="AB840" s="451"/>
      <c r="AC840" s="451"/>
      <c r="AD840" s="451"/>
      <c r="AE840" s="451"/>
      <c r="AF840" s="451"/>
      <c r="AG840" s="451"/>
      <c r="AH840" s="430" t="s">
        <v>881</v>
      </c>
      <c r="AI840" s="431"/>
      <c r="AJ840" s="431"/>
      <c r="AK840" s="431"/>
      <c r="AL840" s="431"/>
      <c r="AM840" s="431"/>
      <c r="AN840" s="431"/>
      <c r="AO840" s="431"/>
      <c r="AP840" s="431"/>
      <c r="AQ840" s="431"/>
      <c r="AR840" s="431"/>
      <c r="AS840" s="432"/>
      <c r="AW840" s="35"/>
      <c r="AX840" s="35"/>
    </row>
    <row r="841" spans="1:50" ht="15" customHeight="1" x14ac:dyDescent="0.2">
      <c r="A841" s="30"/>
      <c r="B841" s="30"/>
      <c r="C841" s="451" t="s">
        <v>563</v>
      </c>
      <c r="D841" s="451"/>
      <c r="E841" s="451"/>
      <c r="F841" s="451"/>
      <c r="G841" s="451"/>
      <c r="H841" s="451"/>
      <c r="I841" s="451"/>
      <c r="J841" s="451"/>
      <c r="K841" s="451"/>
      <c r="L841" s="451"/>
      <c r="M841" s="451"/>
      <c r="N841" s="451"/>
      <c r="O841" s="451"/>
      <c r="P841" s="451"/>
      <c r="Q841" s="451"/>
      <c r="R841" s="451"/>
      <c r="S841" s="451"/>
      <c r="T841" s="451"/>
      <c r="U841" s="451"/>
      <c r="V841" s="451"/>
      <c r="W841" s="451"/>
      <c r="X841" s="451"/>
      <c r="Y841" s="451"/>
      <c r="Z841" s="451"/>
      <c r="AA841" s="451"/>
      <c r="AB841" s="451"/>
      <c r="AC841" s="451"/>
      <c r="AD841" s="451"/>
      <c r="AE841" s="451"/>
      <c r="AF841" s="451"/>
      <c r="AG841" s="451"/>
      <c r="AH841" s="430" t="s">
        <v>881</v>
      </c>
      <c r="AI841" s="431"/>
      <c r="AJ841" s="431"/>
      <c r="AK841" s="431"/>
      <c r="AL841" s="431"/>
      <c r="AM841" s="431"/>
      <c r="AN841" s="431"/>
      <c r="AO841" s="431"/>
      <c r="AP841" s="431"/>
      <c r="AQ841" s="431"/>
      <c r="AR841" s="431"/>
      <c r="AS841" s="432"/>
      <c r="AW841" s="35"/>
      <c r="AX841" s="35"/>
    </row>
    <row r="842" spans="1:50" s="25" customFormat="1" ht="15" customHeight="1" x14ac:dyDescent="0.2">
      <c r="C842" s="86"/>
      <c r="D842" s="86"/>
      <c r="E842" s="86"/>
      <c r="F842" s="86"/>
      <c r="G842" s="86"/>
      <c r="H842" s="86"/>
      <c r="I842" s="86"/>
      <c r="J842" s="86"/>
      <c r="K842" s="86"/>
      <c r="L842" s="86"/>
      <c r="M842" s="86"/>
      <c r="N842" s="86"/>
      <c r="O842" s="86"/>
      <c r="P842" s="86"/>
      <c r="Q842" s="86"/>
      <c r="R842" s="86"/>
      <c r="S842" s="86"/>
      <c r="T842" s="86"/>
      <c r="U842" s="86"/>
      <c r="V842" s="86"/>
      <c r="W842" s="86"/>
      <c r="X842" s="86"/>
      <c r="Y842" s="86"/>
      <c r="Z842" s="86"/>
      <c r="AA842" s="86"/>
      <c r="AB842" s="86"/>
      <c r="AC842" s="86"/>
      <c r="AD842" s="86"/>
      <c r="AE842" s="86"/>
      <c r="AF842" s="86"/>
      <c r="AG842" s="86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</row>
    <row r="843" spans="1:50" ht="15" customHeight="1" x14ac:dyDescent="0.2">
      <c r="A843" s="30"/>
      <c r="B843" s="30"/>
      <c r="C843" s="433" t="s">
        <v>582</v>
      </c>
      <c r="D843" s="433"/>
      <c r="E843" s="433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  <c r="Z843" s="433"/>
      <c r="AA843" s="433"/>
      <c r="AB843" s="433"/>
      <c r="AC843" s="433"/>
      <c r="AD843" s="433"/>
      <c r="AE843" s="433"/>
      <c r="AF843" s="433"/>
      <c r="AG843" s="433"/>
      <c r="AH843" s="391" t="s">
        <v>907</v>
      </c>
      <c r="AI843" s="391"/>
      <c r="AJ843" s="391"/>
      <c r="AK843" s="391"/>
      <c r="AL843" s="391"/>
      <c r="AM843" s="391"/>
      <c r="AN843" s="391"/>
      <c r="AO843" s="391"/>
      <c r="AP843" s="391"/>
      <c r="AQ843" s="391"/>
      <c r="AR843" s="391"/>
      <c r="AS843" s="391"/>
      <c r="AW843" s="35"/>
      <c r="AX843" s="35"/>
    </row>
    <row r="844" spans="1:50" ht="15" customHeight="1" x14ac:dyDescent="0.2">
      <c r="A844" s="30"/>
      <c r="B844" s="30"/>
      <c r="C844" s="388" t="s">
        <v>564</v>
      </c>
      <c r="D844" s="388"/>
      <c r="E844" s="388"/>
      <c r="F844" s="388"/>
      <c r="G844" s="388"/>
      <c r="H844" s="388"/>
      <c r="I844" s="388"/>
      <c r="J844" s="388"/>
      <c r="K844" s="388"/>
      <c r="L844" s="388"/>
      <c r="M844" s="388"/>
      <c r="N844" s="388"/>
      <c r="O844" s="388"/>
      <c r="P844" s="388"/>
      <c r="Q844" s="388"/>
      <c r="R844" s="388"/>
      <c r="S844" s="388"/>
      <c r="T844" s="388"/>
      <c r="U844" s="388"/>
      <c r="V844" s="388"/>
      <c r="W844" s="388"/>
      <c r="X844" s="388"/>
      <c r="Y844" s="388"/>
      <c r="Z844" s="388"/>
      <c r="AA844" s="388"/>
      <c r="AB844" s="388"/>
      <c r="AC844" s="388"/>
      <c r="AD844" s="388"/>
      <c r="AE844" s="388"/>
      <c r="AF844" s="388"/>
      <c r="AG844" s="388"/>
      <c r="AH844" s="430" t="s">
        <v>881</v>
      </c>
      <c r="AI844" s="431"/>
      <c r="AJ844" s="431"/>
      <c r="AK844" s="431"/>
      <c r="AL844" s="431"/>
      <c r="AM844" s="431"/>
      <c r="AN844" s="431"/>
      <c r="AO844" s="431"/>
      <c r="AP844" s="431"/>
      <c r="AQ844" s="431"/>
      <c r="AR844" s="431"/>
      <c r="AS844" s="432"/>
      <c r="AW844" s="35"/>
      <c r="AX844" s="35"/>
    </row>
    <row r="845" spans="1:50" ht="15" customHeight="1" x14ac:dyDescent="0.2">
      <c r="A845" s="30"/>
      <c r="B845" s="30"/>
      <c r="C845" s="388" t="s">
        <v>565</v>
      </c>
      <c r="D845" s="388"/>
      <c r="E845" s="388"/>
      <c r="F845" s="388"/>
      <c r="G845" s="388"/>
      <c r="H845" s="388"/>
      <c r="I845" s="388"/>
      <c r="J845" s="388"/>
      <c r="K845" s="388"/>
      <c r="L845" s="388"/>
      <c r="M845" s="388"/>
      <c r="N845" s="388"/>
      <c r="O845" s="388"/>
      <c r="P845" s="388"/>
      <c r="Q845" s="388"/>
      <c r="R845" s="388"/>
      <c r="S845" s="388"/>
      <c r="T845" s="388"/>
      <c r="U845" s="388"/>
      <c r="V845" s="388"/>
      <c r="W845" s="388"/>
      <c r="X845" s="388"/>
      <c r="Y845" s="388"/>
      <c r="Z845" s="388"/>
      <c r="AA845" s="388"/>
      <c r="AB845" s="388"/>
      <c r="AC845" s="388"/>
      <c r="AD845" s="388"/>
      <c r="AE845" s="388"/>
      <c r="AF845" s="388"/>
      <c r="AG845" s="388"/>
      <c r="AH845" s="430" t="s">
        <v>881</v>
      </c>
      <c r="AI845" s="431"/>
      <c r="AJ845" s="431"/>
      <c r="AK845" s="431"/>
      <c r="AL845" s="431"/>
      <c r="AM845" s="431"/>
      <c r="AN845" s="431"/>
      <c r="AO845" s="431"/>
      <c r="AP845" s="431"/>
      <c r="AQ845" s="431"/>
      <c r="AR845" s="431"/>
      <c r="AS845" s="432"/>
      <c r="AW845" s="35"/>
      <c r="AX845" s="35"/>
    </row>
    <row r="846" spans="1:50" ht="15" customHeight="1" x14ac:dyDescent="0.2">
      <c r="A846" s="30"/>
      <c r="B846" s="30"/>
      <c r="C846" s="388" t="s">
        <v>566</v>
      </c>
      <c r="D846" s="388"/>
      <c r="E846" s="388"/>
      <c r="F846" s="388"/>
      <c r="G846" s="388"/>
      <c r="H846" s="388"/>
      <c r="I846" s="388"/>
      <c r="J846" s="388"/>
      <c r="K846" s="388"/>
      <c r="L846" s="388"/>
      <c r="M846" s="388"/>
      <c r="N846" s="388"/>
      <c r="O846" s="388"/>
      <c r="P846" s="388"/>
      <c r="Q846" s="388"/>
      <c r="R846" s="388"/>
      <c r="S846" s="388"/>
      <c r="T846" s="388"/>
      <c r="U846" s="388"/>
      <c r="V846" s="388"/>
      <c r="W846" s="388"/>
      <c r="X846" s="388"/>
      <c r="Y846" s="388"/>
      <c r="Z846" s="388"/>
      <c r="AA846" s="388"/>
      <c r="AB846" s="388"/>
      <c r="AC846" s="388"/>
      <c r="AD846" s="388"/>
      <c r="AE846" s="388"/>
      <c r="AF846" s="388"/>
      <c r="AG846" s="388"/>
      <c r="AH846" s="430" t="s">
        <v>881</v>
      </c>
      <c r="AI846" s="431"/>
      <c r="AJ846" s="431"/>
      <c r="AK846" s="431"/>
      <c r="AL846" s="431"/>
      <c r="AM846" s="431"/>
      <c r="AN846" s="431"/>
      <c r="AO846" s="431"/>
      <c r="AP846" s="431"/>
      <c r="AQ846" s="431"/>
      <c r="AR846" s="431"/>
      <c r="AS846" s="432"/>
      <c r="AW846" s="35"/>
      <c r="AX846" s="35"/>
    </row>
    <row r="847" spans="1:50" ht="15" customHeight="1" x14ac:dyDescent="0.2">
      <c r="A847" s="30"/>
      <c r="B847" s="30"/>
      <c r="C847" s="388" t="s">
        <v>567</v>
      </c>
      <c r="D847" s="388"/>
      <c r="E847" s="388"/>
      <c r="F847" s="388"/>
      <c r="G847" s="388"/>
      <c r="H847" s="388"/>
      <c r="I847" s="388"/>
      <c r="J847" s="388"/>
      <c r="K847" s="388"/>
      <c r="L847" s="388"/>
      <c r="M847" s="388"/>
      <c r="N847" s="388"/>
      <c r="O847" s="388"/>
      <c r="P847" s="388"/>
      <c r="Q847" s="388"/>
      <c r="R847" s="388"/>
      <c r="S847" s="388"/>
      <c r="T847" s="388"/>
      <c r="U847" s="388"/>
      <c r="V847" s="388"/>
      <c r="W847" s="388"/>
      <c r="X847" s="388"/>
      <c r="Y847" s="388"/>
      <c r="Z847" s="388"/>
      <c r="AA847" s="388"/>
      <c r="AB847" s="388"/>
      <c r="AC847" s="388"/>
      <c r="AD847" s="388"/>
      <c r="AE847" s="388"/>
      <c r="AF847" s="388"/>
      <c r="AG847" s="388"/>
      <c r="AH847" s="430" t="s">
        <v>881</v>
      </c>
      <c r="AI847" s="431"/>
      <c r="AJ847" s="431"/>
      <c r="AK847" s="431"/>
      <c r="AL847" s="431"/>
      <c r="AM847" s="431"/>
      <c r="AN847" s="431"/>
      <c r="AO847" s="431"/>
      <c r="AP847" s="431"/>
      <c r="AQ847" s="431"/>
      <c r="AR847" s="431"/>
      <c r="AS847" s="432"/>
      <c r="AW847" s="35"/>
      <c r="AX847" s="35"/>
    </row>
    <row r="848" spans="1:50" ht="15" customHeight="1" x14ac:dyDescent="0.2">
      <c r="A848" s="30"/>
      <c r="B848" s="30"/>
      <c r="C848" s="388" t="s">
        <v>568</v>
      </c>
      <c r="D848" s="388"/>
      <c r="E848" s="388"/>
      <c r="F848" s="388"/>
      <c r="G848" s="388"/>
      <c r="H848" s="388"/>
      <c r="I848" s="388"/>
      <c r="J848" s="388"/>
      <c r="K848" s="388"/>
      <c r="L848" s="388"/>
      <c r="M848" s="388"/>
      <c r="N848" s="388"/>
      <c r="O848" s="388"/>
      <c r="P848" s="388"/>
      <c r="Q848" s="388"/>
      <c r="R848" s="388"/>
      <c r="S848" s="388"/>
      <c r="T848" s="388"/>
      <c r="U848" s="388"/>
      <c r="V848" s="388"/>
      <c r="W848" s="388"/>
      <c r="X848" s="388"/>
      <c r="Y848" s="388"/>
      <c r="Z848" s="388"/>
      <c r="AA848" s="388"/>
      <c r="AB848" s="388"/>
      <c r="AC848" s="388"/>
      <c r="AD848" s="388"/>
      <c r="AE848" s="388"/>
      <c r="AF848" s="388"/>
      <c r="AG848" s="388"/>
      <c r="AH848" s="430" t="s">
        <v>881</v>
      </c>
      <c r="AI848" s="431"/>
      <c r="AJ848" s="431"/>
      <c r="AK848" s="431"/>
      <c r="AL848" s="431"/>
      <c r="AM848" s="431"/>
      <c r="AN848" s="431"/>
      <c r="AO848" s="431"/>
      <c r="AP848" s="431"/>
      <c r="AQ848" s="431"/>
      <c r="AR848" s="431"/>
      <c r="AS848" s="432"/>
      <c r="AW848" s="35"/>
      <c r="AX848" s="35"/>
    </row>
    <row r="849" spans="1:50" s="25" customFormat="1" ht="15" customHeight="1" x14ac:dyDescent="0.2"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155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</row>
    <row r="850" spans="1:50" ht="15" customHeight="1" x14ac:dyDescent="0.2">
      <c r="A850" s="30"/>
      <c r="B850" s="30"/>
      <c r="C850" s="433" t="s">
        <v>584</v>
      </c>
      <c r="D850" s="433"/>
      <c r="E850" s="433"/>
      <c r="F850" s="433"/>
      <c r="G850" s="433"/>
      <c r="H850" s="433"/>
      <c r="I850" s="433"/>
      <c r="J850" s="433"/>
      <c r="K850" s="433"/>
      <c r="L850" s="433"/>
      <c r="M850" s="433"/>
      <c r="N850" s="433"/>
      <c r="O850" s="433"/>
      <c r="P850" s="433"/>
      <c r="Q850" s="433"/>
      <c r="R850" s="433"/>
      <c r="S850" s="433"/>
      <c r="T850" s="433"/>
      <c r="U850" s="433"/>
      <c r="V850" s="433"/>
      <c r="W850" s="433"/>
      <c r="X850" s="433"/>
      <c r="Y850" s="433"/>
      <c r="Z850" s="433"/>
      <c r="AA850" s="433"/>
      <c r="AB850" s="433"/>
      <c r="AC850" s="433"/>
      <c r="AD850" s="433"/>
      <c r="AE850" s="433"/>
      <c r="AF850" s="433"/>
      <c r="AG850" s="433"/>
      <c r="AH850" s="391" t="s">
        <v>907</v>
      </c>
      <c r="AI850" s="391"/>
      <c r="AJ850" s="391"/>
      <c r="AK850" s="391"/>
      <c r="AL850" s="391"/>
      <c r="AM850" s="391"/>
      <c r="AN850" s="391"/>
      <c r="AO850" s="391"/>
      <c r="AP850" s="391"/>
      <c r="AQ850" s="391"/>
      <c r="AR850" s="391"/>
      <c r="AS850" s="391"/>
      <c r="AW850" s="35"/>
      <c r="AX850" s="35"/>
    </row>
    <row r="851" spans="1:50" ht="15" customHeight="1" x14ac:dyDescent="0.2">
      <c r="A851" s="30"/>
      <c r="B851" s="30"/>
      <c r="C851" s="434" t="s">
        <v>569</v>
      </c>
      <c r="D851" s="434"/>
      <c r="E851" s="434"/>
      <c r="F851" s="434"/>
      <c r="G851" s="434"/>
      <c r="H851" s="434"/>
      <c r="I851" s="434"/>
      <c r="J851" s="434"/>
      <c r="K851" s="434"/>
      <c r="L851" s="434"/>
      <c r="M851" s="434"/>
      <c r="N851" s="434"/>
      <c r="O851" s="434"/>
      <c r="P851" s="434"/>
      <c r="Q851" s="434"/>
      <c r="R851" s="434"/>
      <c r="S851" s="434"/>
      <c r="T851" s="434"/>
      <c r="U851" s="434"/>
      <c r="V851" s="434"/>
      <c r="W851" s="434"/>
      <c r="X851" s="434"/>
      <c r="Y851" s="434"/>
      <c r="Z851" s="434"/>
      <c r="AA851" s="434"/>
      <c r="AB851" s="434"/>
      <c r="AC851" s="434"/>
      <c r="AD851" s="434"/>
      <c r="AE851" s="434"/>
      <c r="AF851" s="434"/>
      <c r="AG851" s="434"/>
      <c r="AH851" s="430" t="s">
        <v>881</v>
      </c>
      <c r="AI851" s="431"/>
      <c r="AJ851" s="431"/>
      <c r="AK851" s="431"/>
      <c r="AL851" s="431"/>
      <c r="AM851" s="431"/>
      <c r="AN851" s="431"/>
      <c r="AO851" s="431"/>
      <c r="AP851" s="431"/>
      <c r="AQ851" s="431"/>
      <c r="AR851" s="431"/>
      <c r="AS851" s="432"/>
      <c r="AW851" s="35"/>
      <c r="AX851" s="35"/>
    </row>
    <row r="852" spans="1:50" ht="15" customHeight="1" x14ac:dyDescent="0.2">
      <c r="A852" s="30"/>
      <c r="B852" s="30"/>
      <c r="C852" s="434" t="s">
        <v>570</v>
      </c>
      <c r="D852" s="434"/>
      <c r="E852" s="434"/>
      <c r="F852" s="434"/>
      <c r="G852" s="434"/>
      <c r="H852" s="434"/>
      <c r="I852" s="434"/>
      <c r="J852" s="434"/>
      <c r="K852" s="434"/>
      <c r="L852" s="434"/>
      <c r="M852" s="434"/>
      <c r="N852" s="434"/>
      <c r="O852" s="434"/>
      <c r="P852" s="434"/>
      <c r="Q852" s="434"/>
      <c r="R852" s="434"/>
      <c r="S852" s="434"/>
      <c r="T852" s="434"/>
      <c r="U852" s="434"/>
      <c r="V852" s="434"/>
      <c r="W852" s="434"/>
      <c r="X852" s="434"/>
      <c r="Y852" s="434"/>
      <c r="Z852" s="434"/>
      <c r="AA852" s="434"/>
      <c r="AB852" s="434"/>
      <c r="AC852" s="434"/>
      <c r="AD852" s="434"/>
      <c r="AE852" s="434"/>
      <c r="AF852" s="434"/>
      <c r="AG852" s="434"/>
      <c r="AH852" s="430" t="s">
        <v>881</v>
      </c>
      <c r="AI852" s="431"/>
      <c r="AJ852" s="431"/>
      <c r="AK852" s="431"/>
      <c r="AL852" s="431"/>
      <c r="AM852" s="431"/>
      <c r="AN852" s="431"/>
      <c r="AO852" s="431"/>
      <c r="AP852" s="431"/>
      <c r="AQ852" s="431"/>
      <c r="AR852" s="431"/>
      <c r="AS852" s="432"/>
      <c r="AW852" s="35"/>
      <c r="AX852" s="35"/>
    </row>
    <row r="853" spans="1:50" s="25" customFormat="1" ht="15" customHeight="1" x14ac:dyDescent="0.2"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</row>
    <row r="854" spans="1:50" ht="15" customHeight="1" x14ac:dyDescent="0.2">
      <c r="A854" s="30"/>
      <c r="B854" s="30"/>
      <c r="C854" s="433" t="s">
        <v>583</v>
      </c>
      <c r="D854" s="433"/>
      <c r="E854" s="433"/>
      <c r="F854" s="433"/>
      <c r="G854" s="433"/>
      <c r="H854" s="433"/>
      <c r="I854" s="433"/>
      <c r="J854" s="433"/>
      <c r="K854" s="433"/>
      <c r="L854" s="433"/>
      <c r="M854" s="433"/>
      <c r="N854" s="433"/>
      <c r="O854" s="433"/>
      <c r="P854" s="433"/>
      <c r="Q854" s="433"/>
      <c r="R854" s="433"/>
      <c r="S854" s="433"/>
      <c r="T854" s="433"/>
      <c r="U854" s="433"/>
      <c r="V854" s="433"/>
      <c r="W854" s="433"/>
      <c r="X854" s="433"/>
      <c r="Y854" s="433"/>
      <c r="Z854" s="433"/>
      <c r="AA854" s="433"/>
      <c r="AB854" s="433"/>
      <c r="AC854" s="433"/>
      <c r="AD854" s="433"/>
      <c r="AE854" s="433"/>
      <c r="AF854" s="433"/>
      <c r="AG854" s="433"/>
      <c r="AH854" s="391" t="s">
        <v>907</v>
      </c>
      <c r="AI854" s="391"/>
      <c r="AJ854" s="391"/>
      <c r="AK854" s="391"/>
      <c r="AL854" s="391"/>
      <c r="AM854" s="391"/>
      <c r="AN854" s="391"/>
      <c r="AO854" s="391"/>
      <c r="AP854" s="391"/>
      <c r="AQ854" s="391"/>
      <c r="AR854" s="391"/>
      <c r="AS854" s="391"/>
      <c r="AW854" s="35"/>
      <c r="AX854" s="35"/>
    </row>
    <row r="855" spans="1:50" ht="15" customHeight="1" x14ac:dyDescent="0.2">
      <c r="A855" s="30"/>
      <c r="B855" s="30"/>
      <c r="C855" s="388" t="s">
        <v>571</v>
      </c>
      <c r="D855" s="388"/>
      <c r="E855" s="388"/>
      <c r="F855" s="388"/>
      <c r="G855" s="388"/>
      <c r="H855" s="388"/>
      <c r="I855" s="388"/>
      <c r="J855" s="388"/>
      <c r="K855" s="388"/>
      <c r="L855" s="388"/>
      <c r="M855" s="388"/>
      <c r="N855" s="388"/>
      <c r="O855" s="388"/>
      <c r="P855" s="388"/>
      <c r="Q855" s="388"/>
      <c r="R855" s="388"/>
      <c r="S855" s="388"/>
      <c r="T855" s="388"/>
      <c r="U855" s="388"/>
      <c r="V855" s="388"/>
      <c r="W855" s="388"/>
      <c r="X855" s="388"/>
      <c r="Y855" s="388"/>
      <c r="Z855" s="388"/>
      <c r="AA855" s="388"/>
      <c r="AB855" s="388"/>
      <c r="AC855" s="388"/>
      <c r="AD855" s="388"/>
      <c r="AE855" s="388"/>
      <c r="AF855" s="388"/>
      <c r="AG855" s="388"/>
      <c r="AH855" s="430" t="s">
        <v>881</v>
      </c>
      <c r="AI855" s="431"/>
      <c r="AJ855" s="431"/>
      <c r="AK855" s="431"/>
      <c r="AL855" s="431"/>
      <c r="AM855" s="431"/>
      <c r="AN855" s="431"/>
      <c r="AO855" s="431"/>
      <c r="AP855" s="431"/>
      <c r="AQ855" s="431"/>
      <c r="AR855" s="431"/>
      <c r="AS855" s="432"/>
      <c r="AW855" s="35"/>
      <c r="AX855" s="35"/>
    </row>
    <row r="856" spans="1:50" ht="15" customHeight="1" x14ac:dyDescent="0.2">
      <c r="A856" s="30"/>
      <c r="B856" s="30"/>
      <c r="C856" s="388" t="s">
        <v>572</v>
      </c>
      <c r="D856" s="388"/>
      <c r="E856" s="388"/>
      <c r="F856" s="388"/>
      <c r="G856" s="388"/>
      <c r="H856" s="388"/>
      <c r="I856" s="388"/>
      <c r="J856" s="388"/>
      <c r="K856" s="388"/>
      <c r="L856" s="388"/>
      <c r="M856" s="388"/>
      <c r="N856" s="388"/>
      <c r="O856" s="388"/>
      <c r="P856" s="388"/>
      <c r="Q856" s="388"/>
      <c r="R856" s="388"/>
      <c r="S856" s="388"/>
      <c r="T856" s="388"/>
      <c r="U856" s="388"/>
      <c r="V856" s="388"/>
      <c r="W856" s="388"/>
      <c r="X856" s="388"/>
      <c r="Y856" s="388"/>
      <c r="Z856" s="388"/>
      <c r="AA856" s="388"/>
      <c r="AB856" s="388"/>
      <c r="AC856" s="388"/>
      <c r="AD856" s="388"/>
      <c r="AE856" s="388"/>
      <c r="AF856" s="388"/>
      <c r="AG856" s="388"/>
      <c r="AH856" s="430" t="s">
        <v>881</v>
      </c>
      <c r="AI856" s="431"/>
      <c r="AJ856" s="431"/>
      <c r="AK856" s="431"/>
      <c r="AL856" s="431"/>
      <c r="AM856" s="431"/>
      <c r="AN856" s="431"/>
      <c r="AO856" s="431"/>
      <c r="AP856" s="431"/>
      <c r="AQ856" s="431"/>
      <c r="AR856" s="431"/>
      <c r="AS856" s="432"/>
      <c r="AW856" s="35"/>
      <c r="AX856" s="35"/>
    </row>
    <row r="857" spans="1:50" ht="12.75" hidden="1" customHeight="1" x14ac:dyDescent="0.2">
      <c r="A857" s="30"/>
      <c r="B857" s="30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53"/>
      <c r="T857" s="65"/>
      <c r="U857" s="65"/>
      <c r="V857" s="53"/>
      <c r="W857" s="65"/>
      <c r="X857" s="65"/>
      <c r="Y857" s="53"/>
      <c r="Z857" s="65"/>
      <c r="AA857" s="65"/>
      <c r="AB857" s="53"/>
      <c r="AC857" s="65"/>
      <c r="AD857" s="65"/>
      <c r="AE857" s="53"/>
      <c r="AF857" s="65"/>
      <c r="AG857" s="65"/>
      <c r="AH857" s="53"/>
      <c r="AI857" s="65"/>
      <c r="AJ857" s="65"/>
      <c r="AK857" s="53"/>
      <c r="AL857" s="65"/>
      <c r="AM857" s="65"/>
      <c r="AN857" s="53"/>
      <c r="AO857" s="65"/>
      <c r="AP857" s="65"/>
      <c r="AQ857" s="53"/>
      <c r="AR857" s="65"/>
      <c r="AS857" s="65"/>
      <c r="AW857" s="35"/>
      <c r="AX857" s="35"/>
    </row>
    <row r="858" spans="1:50" ht="3.75" hidden="1" customHeight="1" x14ac:dyDescent="0.2">
      <c r="A858" s="30"/>
      <c r="B858" s="30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53"/>
      <c r="T858" s="65"/>
      <c r="U858" s="65"/>
      <c r="V858" s="53"/>
      <c r="W858" s="65"/>
      <c r="X858" s="65"/>
      <c r="Y858" s="53"/>
      <c r="Z858" s="65"/>
      <c r="AA858" s="65"/>
      <c r="AB858" s="53"/>
      <c r="AC858" s="65"/>
      <c r="AD858" s="65"/>
      <c r="AE858" s="53"/>
      <c r="AF858" s="65"/>
      <c r="AG858" s="65"/>
      <c r="AH858" s="53"/>
      <c r="AI858" s="65"/>
      <c r="AJ858" s="65"/>
      <c r="AK858" s="53"/>
      <c r="AL858" s="65"/>
      <c r="AM858" s="65"/>
      <c r="AN858" s="53"/>
      <c r="AO858" s="65"/>
      <c r="AP858" s="65"/>
      <c r="AQ858" s="53"/>
      <c r="AR858" s="65"/>
      <c r="AS858" s="65"/>
      <c r="AW858" s="35"/>
      <c r="AX858" s="35"/>
    </row>
    <row r="859" spans="1:50" s="35" customFormat="1" ht="15.75" x14ac:dyDescent="0.2">
      <c r="A859" s="2"/>
      <c r="B859" s="2"/>
      <c r="C859" s="406" t="s">
        <v>591</v>
      </c>
      <c r="D859" s="406"/>
      <c r="E859" s="406"/>
      <c r="F859" s="406"/>
      <c r="G859" s="406"/>
      <c r="H859" s="406"/>
      <c r="I859" s="406"/>
      <c r="J859" s="406"/>
      <c r="K859" s="406"/>
      <c r="L859" s="406"/>
      <c r="M859" s="406"/>
      <c r="N859" s="406"/>
      <c r="O859" s="406"/>
      <c r="P859" s="406"/>
      <c r="Q859" s="406"/>
      <c r="R859" s="406"/>
      <c r="S859" s="406"/>
      <c r="T859" s="406"/>
      <c r="U859" s="406"/>
      <c r="V859" s="406"/>
      <c r="W859" s="406"/>
      <c r="X859" s="406"/>
      <c r="Y859" s="406"/>
      <c r="Z859" s="406"/>
      <c r="AA859" s="406"/>
      <c r="AB859" s="406"/>
      <c r="AC859" s="406"/>
      <c r="AD859" s="406"/>
      <c r="AE859" s="406"/>
      <c r="AF859" s="406"/>
      <c r="AG859" s="406"/>
      <c r="AH859" s="406"/>
      <c r="AI859" s="406"/>
      <c r="AJ859" s="406"/>
      <c r="AK859" s="406"/>
      <c r="AL859" s="406"/>
      <c r="AM859" s="406"/>
      <c r="AN859" s="406"/>
      <c r="AO859" s="406"/>
      <c r="AP859" s="406"/>
      <c r="AQ859" s="406"/>
      <c r="AR859" s="406"/>
      <c r="AS859" s="406"/>
    </row>
    <row r="860" spans="1:50" s="35" customFormat="1" ht="11.25" x14ac:dyDescent="0.2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</row>
    <row r="861" spans="1:50" s="35" customFormat="1" ht="11.25" x14ac:dyDescent="0.2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</row>
    <row r="862" spans="1:50" s="35" customFormat="1" ht="46.5" customHeight="1" x14ac:dyDescent="0.2">
      <c r="A862" s="25"/>
      <c r="B862" s="25"/>
      <c r="C862" s="332" t="s">
        <v>1147</v>
      </c>
      <c r="D862" s="332"/>
      <c r="E862" s="332"/>
      <c r="F862" s="332"/>
      <c r="G862" s="332"/>
      <c r="H862" s="332" t="s">
        <v>80</v>
      </c>
      <c r="I862" s="332"/>
      <c r="J862" s="332"/>
      <c r="K862" s="332"/>
      <c r="L862" s="332"/>
      <c r="M862" s="332"/>
      <c r="N862" s="332"/>
      <c r="O862" s="332"/>
      <c r="P862" s="332"/>
      <c r="Q862" s="332"/>
      <c r="R862" s="332"/>
      <c r="S862" s="332"/>
      <c r="T862" s="332"/>
      <c r="U862" s="332"/>
      <c r="V862" s="332"/>
      <c r="W862" s="332"/>
      <c r="X862" s="332"/>
      <c r="Y862" s="332"/>
      <c r="Z862" s="332"/>
      <c r="AA862" s="332"/>
      <c r="AB862" s="332" t="s">
        <v>1148</v>
      </c>
      <c r="AC862" s="332"/>
      <c r="AD862" s="332"/>
      <c r="AE862" s="332"/>
      <c r="AF862" s="332"/>
      <c r="AG862" s="332"/>
      <c r="AH862" s="332" t="s">
        <v>1149</v>
      </c>
      <c r="AI862" s="332"/>
      <c r="AJ862" s="332"/>
      <c r="AK862" s="332"/>
      <c r="AL862" s="332"/>
      <c r="AM862" s="332"/>
      <c r="AN862" s="332" t="s">
        <v>907</v>
      </c>
      <c r="AO862" s="332"/>
      <c r="AP862" s="332"/>
      <c r="AQ862" s="332"/>
      <c r="AR862" s="332"/>
      <c r="AS862" s="332"/>
      <c r="AT862" s="25"/>
      <c r="AU862" s="25"/>
      <c r="AV862" s="25"/>
      <c r="AW862" s="25"/>
      <c r="AX862" s="25"/>
    </row>
    <row r="863" spans="1:50" s="35" customFormat="1" ht="15.75" x14ac:dyDescent="0.2">
      <c r="A863" s="25"/>
      <c r="B863" s="25"/>
      <c r="C863" s="329" t="s">
        <v>1464</v>
      </c>
      <c r="D863" s="329"/>
      <c r="E863" s="329"/>
      <c r="F863" s="329"/>
      <c r="G863" s="329"/>
      <c r="H863" s="329"/>
      <c r="I863" s="329"/>
      <c r="J863" s="329"/>
      <c r="K863" s="329"/>
      <c r="L863" s="329"/>
      <c r="M863" s="329"/>
      <c r="N863" s="329"/>
      <c r="O863" s="329"/>
      <c r="P863" s="329"/>
      <c r="Q863" s="329"/>
      <c r="R863" s="329"/>
      <c r="S863" s="329"/>
      <c r="T863" s="329"/>
      <c r="U863" s="329"/>
      <c r="V863" s="329"/>
      <c r="W863" s="329"/>
      <c r="X863" s="329"/>
      <c r="Y863" s="329"/>
      <c r="Z863" s="329"/>
      <c r="AA863" s="329"/>
      <c r="AB863" s="329"/>
      <c r="AC863" s="329"/>
      <c r="AD863" s="329"/>
      <c r="AE863" s="329"/>
      <c r="AF863" s="329"/>
      <c r="AG863" s="329"/>
      <c r="AH863" s="329"/>
      <c r="AI863" s="329"/>
      <c r="AJ863" s="329"/>
      <c r="AK863" s="329"/>
      <c r="AL863" s="329"/>
      <c r="AM863" s="329"/>
      <c r="AN863" s="329"/>
      <c r="AO863" s="329"/>
      <c r="AP863" s="329"/>
      <c r="AQ863" s="329"/>
      <c r="AR863" s="329"/>
      <c r="AS863" s="329"/>
      <c r="AT863" s="25"/>
      <c r="AU863" s="25"/>
      <c r="AV863" s="25"/>
      <c r="AW863" s="25"/>
      <c r="AX863" s="25"/>
    </row>
    <row r="864" spans="1:50" s="35" customFormat="1" ht="15" customHeight="1" x14ac:dyDescent="0.25">
      <c r="A864" s="25"/>
      <c r="B864" s="25"/>
      <c r="C864" s="331" t="s">
        <v>1089</v>
      </c>
      <c r="D864" s="331"/>
      <c r="E864" s="331"/>
      <c r="F864" s="331"/>
      <c r="G864" s="331"/>
      <c r="H864" s="330" t="s">
        <v>1116</v>
      </c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  <c r="AA864" s="330"/>
      <c r="AB864" s="330" t="s">
        <v>904</v>
      </c>
      <c r="AC864" s="330"/>
      <c r="AD864" s="330"/>
      <c r="AE864" s="330"/>
      <c r="AF864" s="330"/>
      <c r="AG864" s="330"/>
      <c r="AH864" s="330" t="s">
        <v>1144</v>
      </c>
      <c r="AI864" s="330"/>
      <c r="AJ864" s="330"/>
      <c r="AK864" s="330"/>
      <c r="AL864" s="330"/>
      <c r="AM864" s="330"/>
      <c r="AN864" s="328">
        <f>VLOOKUP("00-00180959",'Выгрузка из 1С'!$B$4:$K$2000,10,FALSE)</f>
        <v>2340</v>
      </c>
      <c r="AO864" s="328"/>
      <c r="AP864" s="328"/>
      <c r="AQ864" s="328"/>
      <c r="AR864" s="328"/>
      <c r="AS864" s="328"/>
      <c r="AT864" s="25"/>
      <c r="AU864" s="25"/>
      <c r="AV864" s="25"/>
      <c r="AW864" s="25"/>
      <c r="AX864" s="25"/>
    </row>
    <row r="865" spans="1:50" s="35" customFormat="1" ht="15" customHeight="1" x14ac:dyDescent="0.25">
      <c r="A865" s="25"/>
      <c r="B865" s="25"/>
      <c r="C865" s="331" t="s">
        <v>1090</v>
      </c>
      <c r="D865" s="331"/>
      <c r="E865" s="331"/>
      <c r="F865" s="331"/>
      <c r="G865" s="331"/>
      <c r="H865" s="330" t="s">
        <v>1117</v>
      </c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  <c r="AA865" s="330"/>
      <c r="AB865" s="330" t="s">
        <v>904</v>
      </c>
      <c r="AC865" s="330"/>
      <c r="AD865" s="330"/>
      <c r="AE865" s="330"/>
      <c r="AF865" s="330"/>
      <c r="AG865" s="330"/>
      <c r="AH865" s="330" t="s">
        <v>1144</v>
      </c>
      <c r="AI865" s="330"/>
      <c r="AJ865" s="330"/>
      <c r="AK865" s="330"/>
      <c r="AL865" s="330"/>
      <c r="AM865" s="330"/>
      <c r="AN865" s="328">
        <f>VLOOKUP("00-00180960",'Выгрузка из 1С'!$B$4:$K$2000,10,FALSE)</f>
        <v>2713</v>
      </c>
      <c r="AO865" s="328"/>
      <c r="AP865" s="328"/>
      <c r="AQ865" s="328"/>
      <c r="AR865" s="328"/>
      <c r="AS865" s="328"/>
      <c r="AT865" s="25"/>
      <c r="AU865" s="25"/>
      <c r="AV865" s="25"/>
      <c r="AW865" s="25"/>
      <c r="AX865" s="25"/>
    </row>
    <row r="866" spans="1:50" s="35" customFormat="1" ht="15" customHeight="1" x14ac:dyDescent="0.25">
      <c r="A866" s="25"/>
      <c r="B866" s="25"/>
      <c r="C866" s="331" t="s">
        <v>1091</v>
      </c>
      <c r="D866" s="331"/>
      <c r="E866" s="331"/>
      <c r="F866" s="331"/>
      <c r="G866" s="331"/>
      <c r="H866" s="330" t="s">
        <v>1118</v>
      </c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  <c r="AA866" s="330"/>
      <c r="AB866" s="330" t="s">
        <v>904</v>
      </c>
      <c r="AC866" s="330"/>
      <c r="AD866" s="330"/>
      <c r="AE866" s="330"/>
      <c r="AF866" s="330"/>
      <c r="AG866" s="330"/>
      <c r="AH866" s="330" t="s">
        <v>1144</v>
      </c>
      <c r="AI866" s="330"/>
      <c r="AJ866" s="330"/>
      <c r="AK866" s="330"/>
      <c r="AL866" s="330"/>
      <c r="AM866" s="330"/>
      <c r="AN866" s="328">
        <f>VLOOKUP("00-00180958",'Выгрузка из 1С'!$B$4:$K$2000,10,FALSE)</f>
        <v>1695</v>
      </c>
      <c r="AO866" s="328"/>
      <c r="AP866" s="328"/>
      <c r="AQ866" s="328"/>
      <c r="AR866" s="328"/>
      <c r="AS866" s="328"/>
      <c r="AT866" s="25"/>
      <c r="AU866" s="25"/>
      <c r="AV866" s="25"/>
      <c r="AW866" s="25"/>
      <c r="AX866" s="25"/>
    </row>
    <row r="867" spans="1:50" s="35" customFormat="1" ht="15" customHeight="1" x14ac:dyDescent="0.25">
      <c r="A867" s="25"/>
      <c r="B867" s="25"/>
      <c r="C867" s="331" t="s">
        <v>1092</v>
      </c>
      <c r="D867" s="331"/>
      <c r="E867" s="331"/>
      <c r="F867" s="331"/>
      <c r="G867" s="331"/>
      <c r="H867" s="330" t="s">
        <v>1119</v>
      </c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  <c r="AA867" s="330"/>
      <c r="AB867" s="330" t="s">
        <v>1143</v>
      </c>
      <c r="AC867" s="330"/>
      <c r="AD867" s="330"/>
      <c r="AE867" s="330"/>
      <c r="AF867" s="330"/>
      <c r="AG867" s="330"/>
      <c r="AH867" s="330" t="s">
        <v>1145</v>
      </c>
      <c r="AI867" s="330"/>
      <c r="AJ867" s="330"/>
      <c r="AK867" s="330"/>
      <c r="AL867" s="330"/>
      <c r="AM867" s="330"/>
      <c r="AN867" s="328">
        <f>VLOOKUP("00-00180799",'Выгрузка из 1С'!$B$4:$K$2000,10,FALSE)</f>
        <v>2925</v>
      </c>
      <c r="AO867" s="328"/>
      <c r="AP867" s="328"/>
      <c r="AQ867" s="328"/>
      <c r="AR867" s="328"/>
      <c r="AS867" s="328"/>
      <c r="AT867" s="25"/>
      <c r="AU867" s="25"/>
      <c r="AV867" s="25"/>
      <c r="AW867" s="25"/>
      <c r="AX867" s="25"/>
    </row>
    <row r="868" spans="1:50" s="35" customFormat="1" ht="15" customHeight="1" x14ac:dyDescent="0.25">
      <c r="A868" s="25"/>
      <c r="B868" s="25"/>
      <c r="C868" s="331" t="s">
        <v>1093</v>
      </c>
      <c r="D868" s="331"/>
      <c r="E868" s="331"/>
      <c r="F868" s="331"/>
      <c r="G868" s="331"/>
      <c r="H868" s="330" t="s">
        <v>1120</v>
      </c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  <c r="AA868" s="330"/>
      <c r="AB868" s="330" t="s">
        <v>1143</v>
      </c>
      <c r="AC868" s="330"/>
      <c r="AD868" s="330"/>
      <c r="AE868" s="330"/>
      <c r="AF868" s="330"/>
      <c r="AG868" s="330"/>
      <c r="AH868" s="330" t="s">
        <v>1145</v>
      </c>
      <c r="AI868" s="330"/>
      <c r="AJ868" s="330"/>
      <c r="AK868" s="330"/>
      <c r="AL868" s="330"/>
      <c r="AM868" s="330"/>
      <c r="AN868" s="328">
        <f>VLOOKUP("00-00180792",'Выгрузка из 1С'!$B$4:$K$2000,10,FALSE)</f>
        <v>3211</v>
      </c>
      <c r="AO868" s="328"/>
      <c r="AP868" s="328"/>
      <c r="AQ868" s="328"/>
      <c r="AR868" s="328"/>
      <c r="AS868" s="328"/>
      <c r="AT868" s="25"/>
      <c r="AU868" s="25"/>
      <c r="AV868" s="25"/>
      <c r="AW868" s="25"/>
      <c r="AX868" s="25"/>
    </row>
    <row r="869" spans="1:50" s="35" customFormat="1" ht="15" customHeight="1" x14ac:dyDescent="0.25">
      <c r="A869" s="25"/>
      <c r="B869" s="25"/>
      <c r="C869" s="331" t="s">
        <v>1094</v>
      </c>
      <c r="D869" s="331"/>
      <c r="E869" s="331"/>
      <c r="F869" s="331"/>
      <c r="G869" s="331"/>
      <c r="H869" s="330" t="s">
        <v>1121</v>
      </c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  <c r="AA869" s="330"/>
      <c r="AB869" s="330" t="s">
        <v>1143</v>
      </c>
      <c r="AC869" s="330"/>
      <c r="AD869" s="330"/>
      <c r="AE869" s="330"/>
      <c r="AF869" s="330"/>
      <c r="AG869" s="330"/>
      <c r="AH869" s="330" t="s">
        <v>1145</v>
      </c>
      <c r="AI869" s="330"/>
      <c r="AJ869" s="330"/>
      <c r="AK869" s="330"/>
      <c r="AL869" s="330"/>
      <c r="AM869" s="330"/>
      <c r="AN869" s="328">
        <f>VLOOKUP("00-00180791",'Выгрузка из 1С'!$B$4:$K$2000,10,FALSE)</f>
        <v>2204</v>
      </c>
      <c r="AO869" s="328"/>
      <c r="AP869" s="328"/>
      <c r="AQ869" s="328"/>
      <c r="AR869" s="328"/>
      <c r="AS869" s="328"/>
      <c r="AT869" s="25"/>
      <c r="AU869" s="25"/>
      <c r="AV869" s="25"/>
      <c r="AW869" s="25"/>
      <c r="AX869" s="25"/>
    </row>
    <row r="870" spans="1:50" s="35" customFormat="1" ht="15" customHeight="1" x14ac:dyDescent="0.25">
      <c r="A870" s="25"/>
      <c r="B870" s="25"/>
      <c r="C870" s="331" t="s">
        <v>1095</v>
      </c>
      <c r="D870" s="331"/>
      <c r="E870" s="331"/>
      <c r="F870" s="331"/>
      <c r="G870" s="331"/>
      <c r="H870" s="330" t="s">
        <v>1122</v>
      </c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  <c r="AA870" s="330"/>
      <c r="AB870" s="330" t="s">
        <v>904</v>
      </c>
      <c r="AC870" s="330"/>
      <c r="AD870" s="330"/>
      <c r="AE870" s="330"/>
      <c r="AF870" s="330"/>
      <c r="AG870" s="330"/>
      <c r="AH870" s="330" t="s">
        <v>1144</v>
      </c>
      <c r="AI870" s="330"/>
      <c r="AJ870" s="330"/>
      <c r="AK870" s="330"/>
      <c r="AL870" s="330"/>
      <c r="AM870" s="330"/>
      <c r="AN870" s="328">
        <f>VLOOKUP("00-00180943",'Выгрузка из 1С'!$B$4:$K$2000,10,FALSE)</f>
        <v>707</v>
      </c>
      <c r="AO870" s="328"/>
      <c r="AP870" s="328"/>
      <c r="AQ870" s="328"/>
      <c r="AR870" s="328"/>
      <c r="AS870" s="328"/>
      <c r="AT870" s="25"/>
      <c r="AU870" s="25"/>
      <c r="AV870" s="25"/>
      <c r="AW870" s="25"/>
      <c r="AX870" s="25"/>
    </row>
    <row r="871" spans="1:50" s="35" customFormat="1" ht="15" customHeight="1" x14ac:dyDescent="0.25">
      <c r="A871" s="25"/>
      <c r="B871" s="25"/>
      <c r="C871" s="331" t="s">
        <v>1096</v>
      </c>
      <c r="D871" s="331"/>
      <c r="E871" s="331"/>
      <c r="F871" s="331"/>
      <c r="G871" s="331"/>
      <c r="H871" s="330" t="s">
        <v>1123</v>
      </c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  <c r="AA871" s="330"/>
      <c r="AB871" s="330" t="s">
        <v>904</v>
      </c>
      <c r="AC871" s="330"/>
      <c r="AD871" s="330"/>
      <c r="AE871" s="330"/>
      <c r="AF871" s="330"/>
      <c r="AG871" s="330"/>
      <c r="AH871" s="330" t="s">
        <v>1144</v>
      </c>
      <c r="AI871" s="330"/>
      <c r="AJ871" s="330"/>
      <c r="AK871" s="330"/>
      <c r="AL871" s="330"/>
      <c r="AM871" s="330"/>
      <c r="AN871" s="328">
        <f>VLOOKUP("00-00180942",'Выгрузка из 1С'!$B$4:$K$2000,10,FALSE)</f>
        <v>873</v>
      </c>
      <c r="AO871" s="328"/>
      <c r="AP871" s="328"/>
      <c r="AQ871" s="328"/>
      <c r="AR871" s="328"/>
      <c r="AS871" s="328"/>
      <c r="AT871" s="25"/>
      <c r="AU871" s="25"/>
      <c r="AV871" s="25"/>
      <c r="AW871" s="25"/>
      <c r="AX871" s="25"/>
    </row>
    <row r="872" spans="1:50" s="35" customFormat="1" ht="15" customHeight="1" x14ac:dyDescent="0.25">
      <c r="A872" s="25"/>
      <c r="B872" s="25"/>
      <c r="C872" s="331" t="s">
        <v>1097</v>
      </c>
      <c r="D872" s="331"/>
      <c r="E872" s="331"/>
      <c r="F872" s="331"/>
      <c r="G872" s="331"/>
      <c r="H872" s="330" t="s">
        <v>1124</v>
      </c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  <c r="AA872" s="330"/>
      <c r="AB872" s="330" t="s">
        <v>904</v>
      </c>
      <c r="AC872" s="330"/>
      <c r="AD872" s="330"/>
      <c r="AE872" s="330"/>
      <c r="AF872" s="330"/>
      <c r="AG872" s="330"/>
      <c r="AH872" s="330" t="s">
        <v>1144</v>
      </c>
      <c r="AI872" s="330"/>
      <c r="AJ872" s="330"/>
      <c r="AK872" s="330"/>
      <c r="AL872" s="330"/>
      <c r="AM872" s="330"/>
      <c r="AN872" s="328">
        <f>VLOOKUP("00-00180823",'Выгрузка из 1С'!$B$4:$K$2000,10,FALSE)</f>
        <v>894</v>
      </c>
      <c r="AO872" s="328"/>
      <c r="AP872" s="328"/>
      <c r="AQ872" s="328"/>
      <c r="AR872" s="328"/>
      <c r="AS872" s="328"/>
      <c r="AT872" s="25"/>
      <c r="AU872" s="25"/>
      <c r="AV872" s="25"/>
      <c r="AW872" s="25"/>
      <c r="AX872" s="25"/>
    </row>
    <row r="873" spans="1:50" s="35" customFormat="1" ht="15" customHeight="1" x14ac:dyDescent="0.25">
      <c r="A873" s="25"/>
      <c r="B873" s="25"/>
      <c r="C873" s="331" t="s">
        <v>1098</v>
      </c>
      <c r="D873" s="331"/>
      <c r="E873" s="331"/>
      <c r="F873" s="331"/>
      <c r="G873" s="331"/>
      <c r="H873" s="330" t="s">
        <v>1125</v>
      </c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  <c r="AA873" s="330"/>
      <c r="AB873" s="330" t="s">
        <v>904</v>
      </c>
      <c r="AC873" s="330"/>
      <c r="AD873" s="330"/>
      <c r="AE873" s="330"/>
      <c r="AF873" s="330"/>
      <c r="AG873" s="330"/>
      <c r="AH873" s="330" t="s">
        <v>1146</v>
      </c>
      <c r="AI873" s="330"/>
      <c r="AJ873" s="330"/>
      <c r="AK873" s="330"/>
      <c r="AL873" s="330"/>
      <c r="AM873" s="330"/>
      <c r="AN873" s="328">
        <f>VLOOKUP("00-00180946",'Выгрузка из 1С'!$B$4:$K$2000,10,FALSE)</f>
        <v>747</v>
      </c>
      <c r="AO873" s="328"/>
      <c r="AP873" s="328"/>
      <c r="AQ873" s="328"/>
      <c r="AR873" s="328"/>
      <c r="AS873" s="328"/>
      <c r="AT873" s="25"/>
      <c r="AU873" s="25"/>
      <c r="AV873" s="25"/>
      <c r="AW873" s="25"/>
      <c r="AX873" s="25"/>
    </row>
    <row r="874" spans="1:50" s="35" customFormat="1" ht="15" customHeight="1" x14ac:dyDescent="0.25">
      <c r="A874" s="25"/>
      <c r="B874" s="25"/>
      <c r="C874" s="331" t="s">
        <v>1099</v>
      </c>
      <c r="D874" s="331"/>
      <c r="E874" s="331"/>
      <c r="F874" s="331"/>
      <c r="G874" s="331"/>
      <c r="H874" s="330" t="s">
        <v>1126</v>
      </c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  <c r="AA874" s="330"/>
      <c r="AB874" s="330" t="s">
        <v>904</v>
      </c>
      <c r="AC874" s="330"/>
      <c r="AD874" s="330"/>
      <c r="AE874" s="330"/>
      <c r="AF874" s="330"/>
      <c r="AG874" s="330"/>
      <c r="AH874" s="330" t="s">
        <v>1146</v>
      </c>
      <c r="AI874" s="330"/>
      <c r="AJ874" s="330"/>
      <c r="AK874" s="330"/>
      <c r="AL874" s="330"/>
      <c r="AM874" s="330"/>
      <c r="AN874" s="328">
        <f>VLOOKUP("00-00180945",'Выгрузка из 1С'!$B$4:$K$2000,10,FALSE)</f>
        <v>928</v>
      </c>
      <c r="AO874" s="328"/>
      <c r="AP874" s="328"/>
      <c r="AQ874" s="328"/>
      <c r="AR874" s="328"/>
      <c r="AS874" s="328"/>
      <c r="AT874" s="25"/>
      <c r="AU874" s="25"/>
      <c r="AV874" s="25"/>
      <c r="AW874" s="25"/>
      <c r="AX874" s="25"/>
    </row>
    <row r="875" spans="1:50" s="35" customFormat="1" ht="15" customHeight="1" x14ac:dyDescent="0.25">
      <c r="A875" s="25"/>
      <c r="B875" s="25"/>
      <c r="C875" s="331" t="s">
        <v>1100</v>
      </c>
      <c r="D875" s="331"/>
      <c r="E875" s="331"/>
      <c r="F875" s="331"/>
      <c r="G875" s="331"/>
      <c r="H875" s="330" t="s">
        <v>1127</v>
      </c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  <c r="AA875" s="330"/>
      <c r="AB875" s="330" t="s">
        <v>904</v>
      </c>
      <c r="AC875" s="330"/>
      <c r="AD875" s="330"/>
      <c r="AE875" s="330"/>
      <c r="AF875" s="330"/>
      <c r="AG875" s="330"/>
      <c r="AH875" s="330" t="s">
        <v>1146</v>
      </c>
      <c r="AI875" s="330"/>
      <c r="AJ875" s="330"/>
      <c r="AK875" s="330"/>
      <c r="AL875" s="330"/>
      <c r="AM875" s="330"/>
      <c r="AN875" s="328">
        <f>VLOOKUP("00-00180944",'Выгрузка из 1С'!$B$4:$K$2000,10,FALSE)</f>
        <v>961</v>
      </c>
      <c r="AO875" s="328"/>
      <c r="AP875" s="328"/>
      <c r="AQ875" s="328"/>
      <c r="AR875" s="328"/>
      <c r="AS875" s="328"/>
      <c r="AT875" s="25"/>
      <c r="AU875" s="25"/>
      <c r="AV875" s="25"/>
      <c r="AW875" s="25"/>
      <c r="AX875" s="25"/>
    </row>
    <row r="876" spans="1:50" s="35" customFormat="1" ht="15" customHeight="1" x14ac:dyDescent="0.25">
      <c r="A876" s="25"/>
      <c r="B876" s="25"/>
      <c r="C876" s="331" t="s">
        <v>1101</v>
      </c>
      <c r="D876" s="331"/>
      <c r="E876" s="331"/>
      <c r="F876" s="331"/>
      <c r="G876" s="331"/>
      <c r="H876" s="330" t="s">
        <v>1128</v>
      </c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  <c r="AA876" s="330"/>
      <c r="AB876" s="330" t="s">
        <v>904</v>
      </c>
      <c r="AC876" s="330"/>
      <c r="AD876" s="330"/>
      <c r="AE876" s="330"/>
      <c r="AF876" s="330"/>
      <c r="AG876" s="330"/>
      <c r="AH876" s="330" t="s">
        <v>1144</v>
      </c>
      <c r="AI876" s="330"/>
      <c r="AJ876" s="330"/>
      <c r="AK876" s="330"/>
      <c r="AL876" s="330"/>
      <c r="AM876" s="330"/>
      <c r="AN876" s="328">
        <f>VLOOKUP("00-00180955",'Выгрузка из 1С'!$B$4:$K$2000,10,FALSE)</f>
        <v>1173</v>
      </c>
      <c r="AO876" s="328"/>
      <c r="AP876" s="328"/>
      <c r="AQ876" s="328"/>
      <c r="AR876" s="328"/>
      <c r="AS876" s="328"/>
      <c r="AT876" s="25"/>
      <c r="AU876" s="25"/>
      <c r="AV876" s="25"/>
      <c r="AW876" s="25"/>
      <c r="AX876" s="25"/>
    </row>
    <row r="877" spans="1:50" s="35" customFormat="1" ht="15" customHeight="1" x14ac:dyDescent="0.25">
      <c r="A877" s="25"/>
      <c r="B877" s="25"/>
      <c r="C877" s="331" t="s">
        <v>1102</v>
      </c>
      <c r="D877" s="331"/>
      <c r="E877" s="331"/>
      <c r="F877" s="331"/>
      <c r="G877" s="331"/>
      <c r="H877" s="330" t="s">
        <v>1129</v>
      </c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  <c r="AA877" s="330"/>
      <c r="AB877" s="330" t="s">
        <v>904</v>
      </c>
      <c r="AC877" s="330"/>
      <c r="AD877" s="330"/>
      <c r="AE877" s="330"/>
      <c r="AF877" s="330"/>
      <c r="AG877" s="330"/>
      <c r="AH877" s="330" t="s">
        <v>1144</v>
      </c>
      <c r="AI877" s="330"/>
      <c r="AJ877" s="330"/>
      <c r="AK877" s="330"/>
      <c r="AL877" s="330"/>
      <c r="AM877" s="330"/>
      <c r="AN877" s="328">
        <f>VLOOKUP("00-00180954",'Выгрузка из 1С'!$B$4:$K$2000,10,FALSE)</f>
        <v>1380</v>
      </c>
      <c r="AO877" s="328"/>
      <c r="AP877" s="328"/>
      <c r="AQ877" s="328"/>
      <c r="AR877" s="328"/>
      <c r="AS877" s="328"/>
      <c r="AT877" s="25"/>
      <c r="AU877" s="25"/>
      <c r="AV877" s="25"/>
      <c r="AW877" s="25"/>
      <c r="AX877" s="25"/>
    </row>
    <row r="878" spans="1:50" s="35" customFormat="1" ht="15" customHeight="1" x14ac:dyDescent="0.25">
      <c r="A878" s="25"/>
      <c r="B878" s="25"/>
      <c r="C878" s="331" t="s">
        <v>1103</v>
      </c>
      <c r="D878" s="331"/>
      <c r="E878" s="331"/>
      <c r="F878" s="331"/>
      <c r="G878" s="331"/>
      <c r="H878" s="330" t="s">
        <v>1130</v>
      </c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  <c r="AA878" s="330"/>
      <c r="AB878" s="330" t="s">
        <v>904</v>
      </c>
      <c r="AC878" s="330"/>
      <c r="AD878" s="330"/>
      <c r="AE878" s="330"/>
      <c r="AF878" s="330"/>
      <c r="AG878" s="330"/>
      <c r="AH878" s="330" t="s">
        <v>1144</v>
      </c>
      <c r="AI878" s="330"/>
      <c r="AJ878" s="330"/>
      <c r="AK878" s="330"/>
      <c r="AL878" s="330"/>
      <c r="AM878" s="330"/>
      <c r="AN878" s="328">
        <f>VLOOKUP("00-00180953",'Выгрузка из 1С'!$B$4:$K$2000,10,FALSE)</f>
        <v>1418</v>
      </c>
      <c r="AO878" s="328"/>
      <c r="AP878" s="328"/>
      <c r="AQ878" s="328"/>
      <c r="AR878" s="328"/>
      <c r="AS878" s="328"/>
      <c r="AT878" s="25"/>
      <c r="AU878" s="25"/>
      <c r="AV878" s="25"/>
      <c r="AW878" s="25"/>
      <c r="AX878" s="25"/>
    </row>
    <row r="879" spans="1:50" s="35" customFormat="1" ht="15" customHeight="1" x14ac:dyDescent="0.25">
      <c r="A879" s="25"/>
      <c r="B879" s="25"/>
      <c r="C879" s="331" t="s">
        <v>1104</v>
      </c>
      <c r="D879" s="331"/>
      <c r="E879" s="331"/>
      <c r="F879" s="331"/>
      <c r="G879" s="331"/>
      <c r="H879" s="330" t="s">
        <v>1131</v>
      </c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  <c r="AA879" s="330"/>
      <c r="AB879" s="330" t="s">
        <v>904</v>
      </c>
      <c r="AC879" s="330"/>
      <c r="AD879" s="330"/>
      <c r="AE879" s="330"/>
      <c r="AF879" s="330"/>
      <c r="AG879" s="330"/>
      <c r="AH879" s="330" t="s">
        <v>1146</v>
      </c>
      <c r="AI879" s="330"/>
      <c r="AJ879" s="330"/>
      <c r="AK879" s="330"/>
      <c r="AL879" s="330"/>
      <c r="AM879" s="330"/>
      <c r="AN879" s="328">
        <f>VLOOKUP("00-00180952",'Выгрузка из 1С'!$B$4:$K$2000,10,FALSE)</f>
        <v>878</v>
      </c>
      <c r="AO879" s="328"/>
      <c r="AP879" s="328"/>
      <c r="AQ879" s="328"/>
      <c r="AR879" s="328"/>
      <c r="AS879" s="328"/>
      <c r="AT879" s="25"/>
      <c r="AU879" s="25"/>
      <c r="AV879" s="25"/>
      <c r="AW879" s="25"/>
      <c r="AX879" s="25"/>
    </row>
    <row r="880" spans="1:50" s="35" customFormat="1" ht="15" customHeight="1" x14ac:dyDescent="0.25">
      <c r="A880" s="25"/>
      <c r="B880" s="25"/>
      <c r="C880" s="331" t="s">
        <v>1105</v>
      </c>
      <c r="D880" s="331"/>
      <c r="E880" s="331"/>
      <c r="F880" s="331"/>
      <c r="G880" s="331"/>
      <c r="H880" s="330" t="s">
        <v>1132</v>
      </c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  <c r="AA880" s="330"/>
      <c r="AB880" s="330" t="s">
        <v>904</v>
      </c>
      <c r="AC880" s="330"/>
      <c r="AD880" s="330"/>
      <c r="AE880" s="330"/>
      <c r="AF880" s="330"/>
      <c r="AG880" s="330"/>
      <c r="AH880" s="330" t="s">
        <v>1146</v>
      </c>
      <c r="AI880" s="330"/>
      <c r="AJ880" s="330"/>
      <c r="AK880" s="330"/>
      <c r="AL880" s="330"/>
      <c r="AM880" s="330"/>
      <c r="AN880" s="328">
        <f>VLOOKUP("00-00180951",'Выгрузка из 1С'!$B$4:$K$2000,10,FALSE)</f>
        <v>1032</v>
      </c>
      <c r="AO880" s="328"/>
      <c r="AP880" s="328"/>
      <c r="AQ880" s="328"/>
      <c r="AR880" s="328"/>
      <c r="AS880" s="328"/>
      <c r="AT880" s="25"/>
      <c r="AU880" s="25"/>
      <c r="AV880" s="25"/>
      <c r="AW880" s="25"/>
      <c r="AX880" s="25"/>
    </row>
    <row r="881" spans="1:50" s="35" customFormat="1" ht="15" customHeight="1" x14ac:dyDescent="0.25">
      <c r="A881" s="25"/>
      <c r="B881" s="25"/>
      <c r="C881" s="331" t="s">
        <v>1106</v>
      </c>
      <c r="D881" s="331"/>
      <c r="E881" s="331"/>
      <c r="F881" s="331"/>
      <c r="G881" s="331"/>
      <c r="H881" s="330" t="s">
        <v>1133</v>
      </c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  <c r="AA881" s="330"/>
      <c r="AB881" s="330" t="s">
        <v>904</v>
      </c>
      <c r="AC881" s="330"/>
      <c r="AD881" s="330"/>
      <c r="AE881" s="330"/>
      <c r="AF881" s="330"/>
      <c r="AG881" s="330"/>
      <c r="AH881" s="330" t="s">
        <v>1146</v>
      </c>
      <c r="AI881" s="330"/>
      <c r="AJ881" s="330"/>
      <c r="AK881" s="330"/>
      <c r="AL881" s="330"/>
      <c r="AM881" s="330"/>
      <c r="AN881" s="328">
        <f>VLOOKUP("00-00180950",'Выгрузка из 1С'!$B$4:$K$2000,10,FALSE)</f>
        <v>1061</v>
      </c>
      <c r="AO881" s="328"/>
      <c r="AP881" s="328"/>
      <c r="AQ881" s="328"/>
      <c r="AR881" s="328"/>
      <c r="AS881" s="328"/>
      <c r="AT881" s="25"/>
      <c r="AU881" s="25"/>
      <c r="AV881" s="25"/>
      <c r="AW881" s="25"/>
      <c r="AX881" s="25"/>
    </row>
    <row r="882" spans="1:50" s="35" customFormat="1" ht="15" customHeight="1" x14ac:dyDescent="0.25">
      <c r="A882" s="25"/>
      <c r="B882" s="25"/>
      <c r="C882" s="331" t="s">
        <v>1107</v>
      </c>
      <c r="D882" s="331"/>
      <c r="E882" s="331"/>
      <c r="F882" s="331"/>
      <c r="G882" s="331"/>
      <c r="H882" s="330" t="s">
        <v>1134</v>
      </c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  <c r="AA882" s="330"/>
      <c r="AB882" s="330" t="s">
        <v>904</v>
      </c>
      <c r="AC882" s="330"/>
      <c r="AD882" s="330"/>
      <c r="AE882" s="330"/>
      <c r="AF882" s="330"/>
      <c r="AG882" s="330"/>
      <c r="AH882" s="330" t="s">
        <v>1146</v>
      </c>
      <c r="AI882" s="330"/>
      <c r="AJ882" s="330"/>
      <c r="AK882" s="330"/>
      <c r="AL882" s="330"/>
      <c r="AM882" s="330"/>
      <c r="AN882" s="328">
        <f>VLOOKUP("00-00180957",'Выгрузка из 1С'!$B$4:$K$2000,10,FALSE)</f>
        <v>1321</v>
      </c>
      <c r="AO882" s="328"/>
      <c r="AP882" s="328"/>
      <c r="AQ882" s="328"/>
      <c r="AR882" s="328"/>
      <c r="AS882" s="328"/>
      <c r="AT882" s="25"/>
      <c r="AU882" s="25"/>
      <c r="AV882" s="25"/>
      <c r="AW882" s="25"/>
      <c r="AX882" s="25"/>
    </row>
    <row r="883" spans="1:50" s="35" customFormat="1" ht="15" customHeight="1" x14ac:dyDescent="0.25">
      <c r="A883" s="25"/>
      <c r="B883" s="25"/>
      <c r="C883" s="331" t="s">
        <v>1108</v>
      </c>
      <c r="D883" s="331"/>
      <c r="E883" s="331"/>
      <c r="F883" s="331"/>
      <c r="G883" s="331"/>
      <c r="H883" s="330" t="s">
        <v>1135</v>
      </c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  <c r="AA883" s="330"/>
      <c r="AB883" s="330" t="s">
        <v>904</v>
      </c>
      <c r="AC883" s="330"/>
      <c r="AD883" s="330"/>
      <c r="AE883" s="330"/>
      <c r="AF883" s="330"/>
      <c r="AG883" s="330"/>
      <c r="AH883" s="330" t="s">
        <v>1146</v>
      </c>
      <c r="AI883" s="330"/>
      <c r="AJ883" s="330"/>
      <c r="AK883" s="330"/>
      <c r="AL883" s="330"/>
      <c r="AM883" s="330"/>
      <c r="AN883" s="328">
        <f>VLOOKUP("00-00180956",'Выгрузка из 1С'!$B$4:$K$2000,10,FALSE)</f>
        <v>1487</v>
      </c>
      <c r="AO883" s="328"/>
      <c r="AP883" s="328"/>
      <c r="AQ883" s="328"/>
      <c r="AR883" s="328"/>
      <c r="AS883" s="328"/>
      <c r="AT883" s="25"/>
      <c r="AU883" s="25"/>
      <c r="AV883" s="25"/>
      <c r="AW883" s="25"/>
      <c r="AX883" s="25"/>
    </row>
    <row r="884" spans="1:50" s="35" customFormat="1" ht="15" customHeight="1" x14ac:dyDescent="0.25">
      <c r="A884" s="25"/>
      <c r="B884" s="25"/>
      <c r="C884" s="331" t="s">
        <v>1109</v>
      </c>
      <c r="D884" s="331"/>
      <c r="E884" s="331"/>
      <c r="F884" s="331"/>
      <c r="G884" s="331"/>
      <c r="H884" s="330" t="s">
        <v>1136</v>
      </c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  <c r="AA884" s="330"/>
      <c r="AB884" s="330" t="s">
        <v>904</v>
      </c>
      <c r="AC884" s="330"/>
      <c r="AD884" s="330"/>
      <c r="AE884" s="330"/>
      <c r="AF884" s="330"/>
      <c r="AG884" s="330"/>
      <c r="AH884" s="330" t="s">
        <v>1144</v>
      </c>
      <c r="AI884" s="330"/>
      <c r="AJ884" s="330"/>
      <c r="AK884" s="330"/>
      <c r="AL884" s="330"/>
      <c r="AM884" s="330"/>
      <c r="AN884" s="328">
        <f>VLOOKUP("00-00180949",'Выгрузка из 1С'!$B$4:$K$2000,10,FALSE)</f>
        <v>640</v>
      </c>
      <c r="AO884" s="328"/>
      <c r="AP884" s="328"/>
      <c r="AQ884" s="328"/>
      <c r="AR884" s="328"/>
      <c r="AS884" s="328"/>
      <c r="AT884" s="25"/>
      <c r="AU884" s="25"/>
      <c r="AV884" s="25"/>
      <c r="AW884" s="25"/>
      <c r="AX884" s="25"/>
    </row>
    <row r="885" spans="1:50" s="35" customFormat="1" ht="15" customHeight="1" x14ac:dyDescent="0.25">
      <c r="A885" s="25"/>
      <c r="B885" s="25"/>
      <c r="C885" s="331" t="s">
        <v>1110</v>
      </c>
      <c r="D885" s="331"/>
      <c r="E885" s="331"/>
      <c r="F885" s="331"/>
      <c r="G885" s="331"/>
      <c r="H885" s="330" t="s">
        <v>1137</v>
      </c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  <c r="AA885" s="330"/>
      <c r="AB885" s="330" t="s">
        <v>904</v>
      </c>
      <c r="AC885" s="330"/>
      <c r="AD885" s="330"/>
      <c r="AE885" s="330"/>
      <c r="AF885" s="330"/>
      <c r="AG885" s="330"/>
      <c r="AH885" s="330" t="s">
        <v>1144</v>
      </c>
      <c r="AI885" s="330"/>
      <c r="AJ885" s="330"/>
      <c r="AK885" s="330"/>
      <c r="AL885" s="330"/>
      <c r="AM885" s="330"/>
      <c r="AN885" s="328">
        <f>VLOOKUP("00-00180948",'Выгрузка из 1С'!$B$4:$K$2000,10,FALSE)</f>
        <v>818</v>
      </c>
      <c r="AO885" s="328"/>
      <c r="AP885" s="328"/>
      <c r="AQ885" s="328"/>
      <c r="AR885" s="328"/>
      <c r="AS885" s="328"/>
      <c r="AT885" s="25"/>
      <c r="AU885" s="25"/>
      <c r="AV885" s="25"/>
      <c r="AW885" s="25"/>
      <c r="AX885" s="25"/>
    </row>
    <row r="886" spans="1:50" s="35" customFormat="1" ht="15" customHeight="1" x14ac:dyDescent="0.25">
      <c r="A886" s="25"/>
      <c r="B886" s="25"/>
      <c r="C886" s="331" t="s">
        <v>1111</v>
      </c>
      <c r="D886" s="331"/>
      <c r="E886" s="331"/>
      <c r="F886" s="331"/>
      <c r="G886" s="331"/>
      <c r="H886" s="330" t="s">
        <v>1138</v>
      </c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  <c r="AA886" s="330"/>
      <c r="AB886" s="330" t="s">
        <v>904</v>
      </c>
      <c r="AC886" s="330"/>
      <c r="AD886" s="330"/>
      <c r="AE886" s="330"/>
      <c r="AF886" s="330"/>
      <c r="AG886" s="330"/>
      <c r="AH886" s="330" t="s">
        <v>1144</v>
      </c>
      <c r="AI886" s="330"/>
      <c r="AJ886" s="330"/>
      <c r="AK886" s="330"/>
      <c r="AL886" s="330"/>
      <c r="AM886" s="330"/>
      <c r="AN886" s="328">
        <f>VLOOKUP("00-00180947",'Выгрузка из 1С'!$B$4:$K$2000,10,FALSE)</f>
        <v>857</v>
      </c>
      <c r="AO886" s="328"/>
      <c r="AP886" s="328"/>
      <c r="AQ886" s="328"/>
      <c r="AR886" s="328"/>
      <c r="AS886" s="328"/>
      <c r="AT886" s="25"/>
      <c r="AU886" s="25"/>
      <c r="AV886" s="25"/>
      <c r="AW886" s="25"/>
      <c r="AX886" s="25"/>
    </row>
    <row r="887" spans="1:50" s="35" customFormat="1" ht="15" customHeight="1" x14ac:dyDescent="0.25">
      <c r="A887" s="25"/>
      <c r="B887" s="25"/>
      <c r="C887" s="331" t="s">
        <v>1112</v>
      </c>
      <c r="D887" s="331"/>
      <c r="E887" s="331"/>
      <c r="F887" s="331"/>
      <c r="G887" s="331"/>
      <c r="H887" s="330" t="s">
        <v>1139</v>
      </c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  <c r="AA887" s="330"/>
      <c r="AB887" s="330" t="s">
        <v>1143</v>
      </c>
      <c r="AC887" s="330"/>
      <c r="AD887" s="330"/>
      <c r="AE887" s="330"/>
      <c r="AF887" s="330"/>
      <c r="AG887" s="330"/>
      <c r="AH887" s="330" t="s">
        <v>1145</v>
      </c>
      <c r="AI887" s="330"/>
      <c r="AJ887" s="330"/>
      <c r="AK887" s="330"/>
      <c r="AL887" s="330"/>
      <c r="AM887" s="330"/>
      <c r="AN887" s="328">
        <f>VLOOKUP("00-00180824",'Выгрузка из 1С'!$B$4:$K$2000,10,FALSE)</f>
        <v>1661</v>
      </c>
      <c r="AO887" s="328"/>
      <c r="AP887" s="328"/>
      <c r="AQ887" s="328"/>
      <c r="AR887" s="328"/>
      <c r="AS887" s="328"/>
      <c r="AT887" s="25"/>
      <c r="AU887" s="25"/>
      <c r="AV887" s="25"/>
      <c r="AW887" s="25"/>
      <c r="AX887" s="25"/>
    </row>
    <row r="888" spans="1:50" s="35" customFormat="1" ht="15" customHeight="1" x14ac:dyDescent="0.25">
      <c r="A888" s="25"/>
      <c r="B888" s="25"/>
      <c r="C888" s="331" t="s">
        <v>1113</v>
      </c>
      <c r="D888" s="331"/>
      <c r="E888" s="331"/>
      <c r="F888" s="331"/>
      <c r="G888" s="331"/>
      <c r="H888" s="330" t="s">
        <v>1140</v>
      </c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  <c r="AA888" s="330"/>
      <c r="AB888" s="330" t="s">
        <v>1143</v>
      </c>
      <c r="AC888" s="330"/>
      <c r="AD888" s="330"/>
      <c r="AE888" s="330"/>
      <c r="AF888" s="330"/>
      <c r="AG888" s="330"/>
      <c r="AH888" s="330" t="s">
        <v>1145</v>
      </c>
      <c r="AI888" s="330"/>
      <c r="AJ888" s="330"/>
      <c r="AK888" s="330"/>
      <c r="AL888" s="330"/>
      <c r="AM888" s="330"/>
      <c r="AN888" s="328">
        <f>VLOOKUP("00-00180825",'Выгрузка из 1С'!$B$4:$K$2000,10,FALSE)</f>
        <v>2245</v>
      </c>
      <c r="AO888" s="328"/>
      <c r="AP888" s="328"/>
      <c r="AQ888" s="328"/>
      <c r="AR888" s="328"/>
      <c r="AS888" s="328"/>
      <c r="AT888" s="25"/>
      <c r="AU888" s="25"/>
      <c r="AV888" s="25"/>
      <c r="AW888" s="25"/>
      <c r="AX888" s="25"/>
    </row>
    <row r="889" spans="1:50" s="35" customFormat="1" ht="15" customHeight="1" x14ac:dyDescent="0.25">
      <c r="A889" s="25"/>
      <c r="B889" s="25"/>
      <c r="C889" s="331" t="s">
        <v>1114</v>
      </c>
      <c r="D889" s="331"/>
      <c r="E889" s="331"/>
      <c r="F889" s="331"/>
      <c r="G889" s="331"/>
      <c r="H889" s="330" t="s">
        <v>1141</v>
      </c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  <c r="AA889" s="330"/>
      <c r="AB889" s="330" t="s">
        <v>904</v>
      </c>
      <c r="AC889" s="330"/>
      <c r="AD889" s="330"/>
      <c r="AE889" s="330"/>
      <c r="AF889" s="330"/>
      <c r="AG889" s="330"/>
      <c r="AH889" s="330" t="s">
        <v>1144</v>
      </c>
      <c r="AI889" s="330"/>
      <c r="AJ889" s="330"/>
      <c r="AK889" s="330"/>
      <c r="AL889" s="330"/>
      <c r="AM889" s="330"/>
      <c r="AN889" s="328">
        <f>VLOOKUP("00-00180962",'Выгрузка из 1С'!$B$4:$K$2000,10,FALSE)</f>
        <v>6304</v>
      </c>
      <c r="AO889" s="328"/>
      <c r="AP889" s="328"/>
      <c r="AQ889" s="328"/>
      <c r="AR889" s="328"/>
      <c r="AS889" s="328"/>
      <c r="AT889" s="25"/>
      <c r="AU889" s="25"/>
      <c r="AV889" s="25"/>
      <c r="AW889" s="25"/>
      <c r="AX889" s="25"/>
    </row>
    <row r="890" spans="1:50" s="35" customFormat="1" ht="15" customHeight="1" x14ac:dyDescent="0.25">
      <c r="A890" s="25"/>
      <c r="B890" s="25"/>
      <c r="C890" s="331" t="s">
        <v>1115</v>
      </c>
      <c r="D890" s="331"/>
      <c r="E890" s="331"/>
      <c r="F890" s="331"/>
      <c r="G890" s="331"/>
      <c r="H890" s="330" t="s">
        <v>1142</v>
      </c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  <c r="AA890" s="330"/>
      <c r="AB890" s="330" t="s">
        <v>1143</v>
      </c>
      <c r="AC890" s="330"/>
      <c r="AD890" s="330"/>
      <c r="AE890" s="330"/>
      <c r="AF890" s="330"/>
      <c r="AG890" s="330"/>
      <c r="AH890" s="330" t="s">
        <v>1145</v>
      </c>
      <c r="AI890" s="330"/>
      <c r="AJ890" s="330"/>
      <c r="AK890" s="330"/>
      <c r="AL890" s="330"/>
      <c r="AM890" s="330"/>
      <c r="AN890" s="328">
        <f>VLOOKUP("00-00180826",'Выгрузка из 1С'!$B$4:$K$2000,10,FALSE)</f>
        <v>9373</v>
      </c>
      <c r="AO890" s="328"/>
      <c r="AP890" s="328"/>
      <c r="AQ890" s="328"/>
      <c r="AR890" s="328"/>
      <c r="AS890" s="328"/>
      <c r="AT890" s="25"/>
      <c r="AU890" s="25"/>
      <c r="AV890" s="25"/>
      <c r="AW890" s="25"/>
      <c r="AX890" s="25"/>
    </row>
    <row r="891" spans="1:50" s="35" customFormat="1" ht="15.75" x14ac:dyDescent="0.2">
      <c r="A891" s="25"/>
      <c r="B891" s="25"/>
      <c r="C891" s="329" t="s">
        <v>1467</v>
      </c>
      <c r="D891" s="329"/>
      <c r="E891" s="329"/>
      <c r="F891" s="329"/>
      <c r="G891" s="329"/>
      <c r="H891" s="329"/>
      <c r="I891" s="329"/>
      <c r="J891" s="329"/>
      <c r="K891" s="329"/>
      <c r="L891" s="329"/>
      <c r="M891" s="329"/>
      <c r="N891" s="329"/>
      <c r="O891" s="329"/>
      <c r="P891" s="329"/>
      <c r="Q891" s="329"/>
      <c r="R891" s="329"/>
      <c r="S891" s="329"/>
      <c r="T891" s="329"/>
      <c r="U891" s="329"/>
      <c r="V891" s="329"/>
      <c r="W891" s="329"/>
      <c r="X891" s="329"/>
      <c r="Y891" s="329"/>
      <c r="Z891" s="329"/>
      <c r="AA891" s="329"/>
      <c r="AB891" s="329"/>
      <c r="AC891" s="329"/>
      <c r="AD891" s="329"/>
      <c r="AE891" s="329"/>
      <c r="AF891" s="329"/>
      <c r="AG891" s="329"/>
      <c r="AH891" s="329"/>
      <c r="AI891" s="329"/>
      <c r="AJ891" s="329"/>
      <c r="AK891" s="329"/>
      <c r="AL891" s="329"/>
      <c r="AM891" s="329"/>
      <c r="AN891" s="329"/>
      <c r="AO891" s="329"/>
      <c r="AP891" s="329"/>
      <c r="AQ891" s="329"/>
      <c r="AR891" s="329"/>
      <c r="AS891" s="329"/>
      <c r="AT891" s="25"/>
      <c r="AU891" s="25"/>
      <c r="AV891" s="25"/>
      <c r="AW891" s="25"/>
      <c r="AX891" s="25"/>
    </row>
    <row r="892" spans="1:50" s="35" customFormat="1" ht="13.5" customHeight="1" x14ac:dyDescent="0.25">
      <c r="A892" s="25"/>
      <c r="B892" s="25"/>
      <c r="C892" s="331" t="s">
        <v>1150</v>
      </c>
      <c r="D892" s="331"/>
      <c r="E892" s="331"/>
      <c r="F892" s="331"/>
      <c r="G892" s="331"/>
      <c r="H892" s="330" t="s">
        <v>1208</v>
      </c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  <c r="AA892" s="330"/>
      <c r="AB892" s="330" t="s">
        <v>1266</v>
      </c>
      <c r="AC892" s="330"/>
      <c r="AD892" s="330"/>
      <c r="AE892" s="330"/>
      <c r="AF892" s="330"/>
      <c r="AG892" s="330"/>
      <c r="AH892" s="330" t="s">
        <v>1269</v>
      </c>
      <c r="AI892" s="330"/>
      <c r="AJ892" s="330"/>
      <c r="AK892" s="330"/>
      <c r="AL892" s="330"/>
      <c r="AM892" s="330"/>
      <c r="AN892" s="328">
        <f>VLOOKUP("00-00180975",'Выгрузка из 1С'!$B$4:$K$2000,10,FALSE)</f>
        <v>10118</v>
      </c>
      <c r="AO892" s="328"/>
      <c r="AP892" s="328"/>
      <c r="AQ892" s="328"/>
      <c r="AR892" s="328"/>
      <c r="AS892" s="328"/>
      <c r="AT892" s="25"/>
      <c r="AU892" s="25"/>
      <c r="AV892" s="25"/>
      <c r="AW892" s="25"/>
      <c r="AX892" s="25"/>
    </row>
    <row r="893" spans="1:50" s="35" customFormat="1" ht="13.5" customHeight="1" x14ac:dyDescent="0.25">
      <c r="A893" s="25"/>
      <c r="B893" s="25"/>
      <c r="C893" s="331" t="s">
        <v>1151</v>
      </c>
      <c r="D893" s="331"/>
      <c r="E893" s="331"/>
      <c r="F893" s="331"/>
      <c r="G893" s="331"/>
      <c r="H893" s="330" t="s">
        <v>1209</v>
      </c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  <c r="AA893" s="330"/>
      <c r="AB893" s="330" t="s">
        <v>1266</v>
      </c>
      <c r="AC893" s="330"/>
      <c r="AD893" s="330"/>
      <c r="AE893" s="330"/>
      <c r="AF893" s="330"/>
      <c r="AG893" s="330"/>
      <c r="AH893" s="330" t="s">
        <v>1269</v>
      </c>
      <c r="AI893" s="330"/>
      <c r="AJ893" s="330"/>
      <c r="AK893" s="330"/>
      <c r="AL893" s="330"/>
      <c r="AM893" s="330"/>
      <c r="AN893" s="328">
        <f>VLOOKUP("00-00180976",'Выгрузка из 1С'!$B$4:$K$2000,10,FALSE)</f>
        <v>11450</v>
      </c>
      <c r="AO893" s="328"/>
      <c r="AP893" s="328"/>
      <c r="AQ893" s="328"/>
      <c r="AR893" s="328"/>
      <c r="AS893" s="328"/>
      <c r="AT893" s="25"/>
      <c r="AU893" s="25"/>
      <c r="AV893" s="25"/>
      <c r="AW893" s="25"/>
      <c r="AX893" s="25"/>
    </row>
    <row r="894" spans="1:50" s="35" customFormat="1" ht="13.5" customHeight="1" x14ac:dyDescent="0.25">
      <c r="A894" s="25"/>
      <c r="B894" s="25"/>
      <c r="C894" s="331" t="s">
        <v>1152</v>
      </c>
      <c r="D894" s="331"/>
      <c r="E894" s="331"/>
      <c r="F894" s="331"/>
      <c r="G894" s="331"/>
      <c r="H894" s="330" t="s">
        <v>1210</v>
      </c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  <c r="AA894" s="330"/>
      <c r="AB894" s="330" t="s">
        <v>1266</v>
      </c>
      <c r="AC894" s="330"/>
      <c r="AD894" s="330"/>
      <c r="AE894" s="330"/>
      <c r="AF894" s="330"/>
      <c r="AG894" s="330"/>
      <c r="AH894" s="330" t="s">
        <v>1270</v>
      </c>
      <c r="AI894" s="330"/>
      <c r="AJ894" s="330"/>
      <c r="AK894" s="330"/>
      <c r="AL894" s="330"/>
      <c r="AM894" s="330"/>
      <c r="AN894" s="328">
        <f>VLOOKUP("00-00180977",'Выгрузка из 1С'!$B$4:$K$2000,10,FALSE)</f>
        <v>12035</v>
      </c>
      <c r="AO894" s="328"/>
      <c r="AP894" s="328"/>
      <c r="AQ894" s="328"/>
      <c r="AR894" s="328"/>
      <c r="AS894" s="328"/>
      <c r="AT894" s="25"/>
      <c r="AU894" s="25"/>
      <c r="AV894" s="25"/>
      <c r="AW894" s="25"/>
      <c r="AX894" s="25"/>
    </row>
    <row r="895" spans="1:50" s="35" customFormat="1" ht="13.5" customHeight="1" x14ac:dyDescent="0.25">
      <c r="A895" s="25"/>
      <c r="B895" s="25"/>
      <c r="C895" s="331" t="s">
        <v>1153</v>
      </c>
      <c r="D895" s="331"/>
      <c r="E895" s="331"/>
      <c r="F895" s="331"/>
      <c r="G895" s="331"/>
      <c r="H895" s="330" t="s">
        <v>1211</v>
      </c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  <c r="AA895" s="330"/>
      <c r="AB895" s="330" t="s">
        <v>1266</v>
      </c>
      <c r="AC895" s="330"/>
      <c r="AD895" s="330"/>
      <c r="AE895" s="330"/>
      <c r="AF895" s="330"/>
      <c r="AG895" s="330"/>
      <c r="AH895" s="330" t="s">
        <v>1270</v>
      </c>
      <c r="AI895" s="330"/>
      <c r="AJ895" s="330"/>
      <c r="AK895" s="330"/>
      <c r="AL895" s="330"/>
      <c r="AM895" s="330"/>
      <c r="AN895" s="328">
        <f>VLOOKUP("00-00180978",'Выгрузка из 1С'!$B$4:$K$2000,10,FALSE)</f>
        <v>12840</v>
      </c>
      <c r="AO895" s="328"/>
      <c r="AP895" s="328"/>
      <c r="AQ895" s="328"/>
      <c r="AR895" s="328"/>
      <c r="AS895" s="328"/>
      <c r="AT895" s="25"/>
      <c r="AU895" s="25"/>
      <c r="AV895" s="25"/>
      <c r="AW895" s="25"/>
      <c r="AX895" s="25"/>
    </row>
    <row r="896" spans="1:50" s="35" customFormat="1" ht="13.5" customHeight="1" x14ac:dyDescent="0.25">
      <c r="A896" s="25"/>
      <c r="B896" s="25"/>
      <c r="C896" s="331" t="s">
        <v>1154</v>
      </c>
      <c r="D896" s="331"/>
      <c r="E896" s="331"/>
      <c r="F896" s="331"/>
      <c r="G896" s="331"/>
      <c r="H896" s="330" t="s">
        <v>1212</v>
      </c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  <c r="AA896" s="330"/>
      <c r="AB896" s="330" t="s">
        <v>1266</v>
      </c>
      <c r="AC896" s="330"/>
      <c r="AD896" s="330"/>
      <c r="AE896" s="330"/>
      <c r="AF896" s="330"/>
      <c r="AG896" s="330"/>
      <c r="AH896" s="330" t="s">
        <v>1270</v>
      </c>
      <c r="AI896" s="330"/>
      <c r="AJ896" s="330"/>
      <c r="AK896" s="330"/>
      <c r="AL896" s="330"/>
      <c r="AM896" s="330"/>
      <c r="AN896" s="328">
        <f>VLOOKUP("00-00039417",'Выгрузка из 1С'!$B$4:$K$2000,10,FALSE)</f>
        <v>7699</v>
      </c>
      <c r="AO896" s="328"/>
      <c r="AP896" s="328"/>
      <c r="AQ896" s="328"/>
      <c r="AR896" s="328"/>
      <c r="AS896" s="328"/>
      <c r="AT896" s="25"/>
      <c r="AU896" s="25"/>
      <c r="AV896" s="25"/>
      <c r="AW896" s="25"/>
      <c r="AX896" s="25"/>
    </row>
    <row r="897" spans="1:50" s="35" customFormat="1" ht="13.5" customHeight="1" x14ac:dyDescent="0.25">
      <c r="A897" s="25"/>
      <c r="B897" s="25"/>
      <c r="C897" s="331" t="s">
        <v>1155</v>
      </c>
      <c r="D897" s="331"/>
      <c r="E897" s="331"/>
      <c r="F897" s="331"/>
      <c r="G897" s="331"/>
      <c r="H897" s="330" t="s">
        <v>1213</v>
      </c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  <c r="AA897" s="330"/>
      <c r="AB897" s="330" t="s">
        <v>1266</v>
      </c>
      <c r="AC897" s="330"/>
      <c r="AD897" s="330"/>
      <c r="AE897" s="330"/>
      <c r="AF897" s="330"/>
      <c r="AG897" s="330"/>
      <c r="AH897" s="330" t="s">
        <v>1270</v>
      </c>
      <c r="AI897" s="330"/>
      <c r="AJ897" s="330"/>
      <c r="AK897" s="330"/>
      <c r="AL897" s="330"/>
      <c r="AM897" s="330"/>
      <c r="AN897" s="328">
        <f>VLOOKUP("УТ-00042453",'Выгрузка из 1С'!$B$4:$K$2000,10,FALSE)</f>
        <v>8699</v>
      </c>
      <c r="AO897" s="328"/>
      <c r="AP897" s="328"/>
      <c r="AQ897" s="328"/>
      <c r="AR897" s="328"/>
      <c r="AS897" s="328"/>
      <c r="AT897" s="25"/>
      <c r="AU897" s="25"/>
      <c r="AV897" s="25"/>
      <c r="AW897" s="25"/>
      <c r="AX897" s="25"/>
    </row>
    <row r="898" spans="1:50" s="35" customFormat="1" ht="13.5" customHeight="1" x14ac:dyDescent="0.25">
      <c r="A898" s="25"/>
      <c r="B898" s="25"/>
      <c r="C898" s="331" t="s">
        <v>1156</v>
      </c>
      <c r="D898" s="331"/>
      <c r="E898" s="331"/>
      <c r="F898" s="331"/>
      <c r="G898" s="331"/>
      <c r="H898" s="330" t="s">
        <v>1214</v>
      </c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  <c r="AA898" s="330"/>
      <c r="AB898" s="330" t="s">
        <v>1266</v>
      </c>
      <c r="AC898" s="330"/>
      <c r="AD898" s="330"/>
      <c r="AE898" s="330"/>
      <c r="AF898" s="330"/>
      <c r="AG898" s="330"/>
      <c r="AH898" s="330" t="s">
        <v>1270</v>
      </c>
      <c r="AI898" s="330"/>
      <c r="AJ898" s="330"/>
      <c r="AK898" s="330"/>
      <c r="AL898" s="330"/>
      <c r="AM898" s="330"/>
      <c r="AN898" s="328">
        <f>VLOOKUP("00-00180974",'Выгрузка из 1С'!$B$4:$K$2000,10,FALSE)</f>
        <v>3721</v>
      </c>
      <c r="AO898" s="328"/>
      <c r="AP898" s="328"/>
      <c r="AQ898" s="328"/>
      <c r="AR898" s="328"/>
      <c r="AS898" s="328"/>
      <c r="AT898" s="25"/>
      <c r="AU898" s="25"/>
      <c r="AV898" s="25"/>
      <c r="AW898" s="25"/>
      <c r="AX898" s="25"/>
    </row>
    <row r="899" spans="1:50" s="35" customFormat="1" ht="13.5" customHeight="1" x14ac:dyDescent="0.25">
      <c r="A899" s="25"/>
      <c r="B899" s="25"/>
      <c r="C899" s="331" t="s">
        <v>1157</v>
      </c>
      <c r="D899" s="331"/>
      <c r="E899" s="331"/>
      <c r="F899" s="331"/>
      <c r="G899" s="331"/>
      <c r="H899" s="330" t="s">
        <v>1215</v>
      </c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  <c r="AA899" s="330"/>
      <c r="AB899" s="330" t="s">
        <v>1266</v>
      </c>
      <c r="AC899" s="330"/>
      <c r="AD899" s="330"/>
      <c r="AE899" s="330"/>
      <c r="AF899" s="330"/>
      <c r="AG899" s="330"/>
      <c r="AH899" s="330" t="s">
        <v>1270</v>
      </c>
      <c r="AI899" s="330"/>
      <c r="AJ899" s="330"/>
      <c r="AK899" s="330"/>
      <c r="AL899" s="330"/>
      <c r="AM899" s="330"/>
      <c r="AN899" s="328">
        <f>VLOOKUP("00-00181318",'Выгрузка из 1С'!$B$4:$K$2000,10,FALSE)</f>
        <v>6326</v>
      </c>
      <c r="AO899" s="328"/>
      <c r="AP899" s="328"/>
      <c r="AQ899" s="328"/>
      <c r="AR899" s="328"/>
      <c r="AS899" s="328"/>
      <c r="AT899" s="25"/>
      <c r="AU899" s="25"/>
      <c r="AV899" s="25"/>
      <c r="AW899" s="25"/>
      <c r="AX899" s="25"/>
    </row>
    <row r="900" spans="1:50" s="35" customFormat="1" ht="13.5" customHeight="1" x14ac:dyDescent="0.25">
      <c r="A900" s="25"/>
      <c r="B900" s="25"/>
      <c r="C900" s="331" t="s">
        <v>1158</v>
      </c>
      <c r="D900" s="331"/>
      <c r="E900" s="331"/>
      <c r="F900" s="331"/>
      <c r="G900" s="331"/>
      <c r="H900" s="330" t="s">
        <v>1216</v>
      </c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  <c r="AA900" s="330"/>
      <c r="AB900" s="330" t="s">
        <v>1266</v>
      </c>
      <c r="AC900" s="330"/>
      <c r="AD900" s="330"/>
      <c r="AE900" s="330"/>
      <c r="AF900" s="330"/>
      <c r="AG900" s="330"/>
      <c r="AH900" s="330" t="s">
        <v>1270</v>
      </c>
      <c r="AI900" s="330"/>
      <c r="AJ900" s="330"/>
      <c r="AK900" s="330"/>
      <c r="AL900" s="330"/>
      <c r="AM900" s="330"/>
      <c r="AN900" s="328">
        <f>VLOOKUP("00-00196040",'Выгрузка из 1С'!$B$4:$K$2000,10,FALSE)</f>
        <v>10928</v>
      </c>
      <c r="AO900" s="328"/>
      <c r="AP900" s="328"/>
      <c r="AQ900" s="328"/>
      <c r="AR900" s="328"/>
      <c r="AS900" s="328"/>
      <c r="AT900" s="25"/>
      <c r="AU900" s="25"/>
      <c r="AV900" s="25"/>
      <c r="AW900" s="25"/>
      <c r="AX900" s="25"/>
    </row>
    <row r="901" spans="1:50" s="35" customFormat="1" ht="13.5" customHeight="1" x14ac:dyDescent="0.25">
      <c r="A901" s="25"/>
      <c r="B901" s="25"/>
      <c r="C901" s="331" t="s">
        <v>1159</v>
      </c>
      <c r="D901" s="331"/>
      <c r="E901" s="331"/>
      <c r="F901" s="331"/>
      <c r="G901" s="331"/>
      <c r="H901" s="330" t="s">
        <v>1217</v>
      </c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  <c r="AA901" s="330"/>
      <c r="AB901" s="330" t="s">
        <v>1266</v>
      </c>
      <c r="AC901" s="330"/>
      <c r="AD901" s="330"/>
      <c r="AE901" s="330"/>
      <c r="AF901" s="330"/>
      <c r="AG901" s="330"/>
      <c r="AH901" s="330" t="s">
        <v>1270</v>
      </c>
      <c r="AI901" s="330"/>
      <c r="AJ901" s="330"/>
      <c r="AK901" s="330"/>
      <c r="AL901" s="330"/>
      <c r="AM901" s="330"/>
      <c r="AN901" s="328">
        <f>VLOOKUP("00-00196014",'Выгрузка из 1С'!$B$4:$K$2000,10,FALSE)</f>
        <v>11500</v>
      </c>
      <c r="AO901" s="328"/>
      <c r="AP901" s="328"/>
      <c r="AQ901" s="328"/>
      <c r="AR901" s="328"/>
      <c r="AS901" s="328"/>
      <c r="AT901" s="25"/>
      <c r="AU901" s="25"/>
      <c r="AV901" s="25"/>
      <c r="AW901" s="25"/>
      <c r="AX901" s="25"/>
    </row>
    <row r="902" spans="1:50" s="35" customFormat="1" ht="13.5" customHeight="1" x14ac:dyDescent="0.25">
      <c r="A902" s="25"/>
      <c r="B902" s="25"/>
      <c r="C902" s="331" t="s">
        <v>1160</v>
      </c>
      <c r="D902" s="331"/>
      <c r="E902" s="331"/>
      <c r="F902" s="331"/>
      <c r="G902" s="331"/>
      <c r="H902" s="330" t="s">
        <v>1218</v>
      </c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  <c r="AA902" s="330"/>
      <c r="AB902" s="330" t="s">
        <v>1266</v>
      </c>
      <c r="AC902" s="330"/>
      <c r="AD902" s="330"/>
      <c r="AE902" s="330"/>
      <c r="AF902" s="330"/>
      <c r="AG902" s="330"/>
      <c r="AH902" s="330" t="s">
        <v>1270</v>
      </c>
      <c r="AI902" s="330"/>
      <c r="AJ902" s="330"/>
      <c r="AK902" s="330"/>
      <c r="AL902" s="330"/>
      <c r="AM902" s="330"/>
      <c r="AN902" s="328">
        <f>VLOOKUP("00-00180973",'Выгрузка из 1С'!$B$4:$K$2000,10,FALSE)</f>
        <v>5199</v>
      </c>
      <c r="AO902" s="328"/>
      <c r="AP902" s="328"/>
      <c r="AQ902" s="328"/>
      <c r="AR902" s="328"/>
      <c r="AS902" s="328"/>
      <c r="AT902" s="25"/>
      <c r="AU902" s="25"/>
      <c r="AV902" s="25"/>
      <c r="AW902" s="25"/>
      <c r="AX902" s="25"/>
    </row>
    <row r="903" spans="1:50" s="35" customFormat="1" ht="13.5" customHeight="1" x14ac:dyDescent="0.25">
      <c r="A903" s="25"/>
      <c r="B903" s="25"/>
      <c r="C903" s="331" t="s">
        <v>1161</v>
      </c>
      <c r="D903" s="331"/>
      <c r="E903" s="331"/>
      <c r="F903" s="331"/>
      <c r="G903" s="331"/>
      <c r="H903" s="330" t="s">
        <v>1219</v>
      </c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  <c r="AA903" s="330"/>
      <c r="AB903" s="330" t="s">
        <v>1266</v>
      </c>
      <c r="AC903" s="330"/>
      <c r="AD903" s="330"/>
      <c r="AE903" s="330"/>
      <c r="AF903" s="330"/>
      <c r="AG903" s="330"/>
      <c r="AH903" s="330" t="s">
        <v>1269</v>
      </c>
      <c r="AI903" s="330"/>
      <c r="AJ903" s="330"/>
      <c r="AK903" s="330"/>
      <c r="AL903" s="330"/>
      <c r="AM903" s="330"/>
      <c r="AN903" s="328">
        <f>VLOOKUP("00-00180969",'Выгрузка из 1С'!$B$4:$K$2000,10,FALSE)</f>
        <v>5133</v>
      </c>
      <c r="AO903" s="328"/>
      <c r="AP903" s="328"/>
      <c r="AQ903" s="328"/>
      <c r="AR903" s="328"/>
      <c r="AS903" s="328"/>
      <c r="AT903" s="25"/>
      <c r="AU903" s="25"/>
      <c r="AV903" s="25"/>
      <c r="AW903" s="25"/>
      <c r="AX903" s="25"/>
    </row>
    <row r="904" spans="1:50" s="35" customFormat="1" ht="13.5" customHeight="1" x14ac:dyDescent="0.25">
      <c r="A904" s="25"/>
      <c r="B904" s="25"/>
      <c r="C904" s="331" t="s">
        <v>1162</v>
      </c>
      <c r="D904" s="331"/>
      <c r="E904" s="331"/>
      <c r="F904" s="331"/>
      <c r="G904" s="331"/>
      <c r="H904" s="330" t="s">
        <v>1220</v>
      </c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  <c r="AA904" s="330"/>
      <c r="AB904" s="330" t="s">
        <v>1266</v>
      </c>
      <c r="AC904" s="330"/>
      <c r="AD904" s="330"/>
      <c r="AE904" s="330"/>
      <c r="AF904" s="330"/>
      <c r="AG904" s="330"/>
      <c r="AH904" s="330" t="s">
        <v>1269</v>
      </c>
      <c r="AI904" s="330"/>
      <c r="AJ904" s="330"/>
      <c r="AK904" s="330"/>
      <c r="AL904" s="330"/>
      <c r="AM904" s="330"/>
      <c r="AN904" s="328">
        <f>VLOOKUP("00-00180970",'Выгрузка из 1С'!$B$4:$K$2000,10,FALSE)</f>
        <v>5989</v>
      </c>
      <c r="AO904" s="328"/>
      <c r="AP904" s="328"/>
      <c r="AQ904" s="328"/>
      <c r="AR904" s="328"/>
      <c r="AS904" s="328"/>
      <c r="AT904" s="25"/>
      <c r="AU904" s="25"/>
      <c r="AV904" s="25"/>
      <c r="AW904" s="25"/>
      <c r="AX904" s="25"/>
    </row>
    <row r="905" spans="1:50" s="35" customFormat="1" ht="13.5" customHeight="1" x14ac:dyDescent="0.25">
      <c r="A905" s="25"/>
      <c r="B905" s="25"/>
      <c r="C905" s="331" t="s">
        <v>1163</v>
      </c>
      <c r="D905" s="331"/>
      <c r="E905" s="331"/>
      <c r="F905" s="331"/>
      <c r="G905" s="331"/>
      <c r="H905" s="330" t="s">
        <v>1221</v>
      </c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  <c r="AA905" s="330"/>
      <c r="AB905" s="330" t="s">
        <v>1266</v>
      </c>
      <c r="AC905" s="330"/>
      <c r="AD905" s="330"/>
      <c r="AE905" s="330"/>
      <c r="AF905" s="330"/>
      <c r="AG905" s="330"/>
      <c r="AH905" s="330" t="s">
        <v>1269</v>
      </c>
      <c r="AI905" s="330"/>
      <c r="AJ905" s="330"/>
      <c r="AK905" s="330"/>
      <c r="AL905" s="330"/>
      <c r="AM905" s="330"/>
      <c r="AN905" s="328">
        <f>VLOOKUP("00-00180963",'Выгрузка из 1С'!$B$4:$K$2000,10,FALSE)</f>
        <v>4768</v>
      </c>
      <c r="AO905" s="328"/>
      <c r="AP905" s="328"/>
      <c r="AQ905" s="328"/>
      <c r="AR905" s="328"/>
      <c r="AS905" s="328"/>
      <c r="AT905" s="25"/>
      <c r="AU905" s="25"/>
      <c r="AV905" s="25"/>
      <c r="AW905" s="25"/>
      <c r="AX905" s="25"/>
    </row>
    <row r="906" spans="1:50" s="35" customFormat="1" ht="13.5" customHeight="1" x14ac:dyDescent="0.25">
      <c r="A906" s="25"/>
      <c r="B906" s="25"/>
      <c r="C906" s="331" t="s">
        <v>1164</v>
      </c>
      <c r="D906" s="331"/>
      <c r="E906" s="331"/>
      <c r="F906" s="331"/>
      <c r="G906" s="331"/>
      <c r="H906" s="330" t="s">
        <v>1222</v>
      </c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  <c r="AA906" s="330"/>
      <c r="AB906" s="330" t="s">
        <v>1266</v>
      </c>
      <c r="AC906" s="330"/>
      <c r="AD906" s="330"/>
      <c r="AE906" s="330"/>
      <c r="AF906" s="330"/>
      <c r="AG906" s="330"/>
      <c r="AH906" s="330" t="s">
        <v>1269</v>
      </c>
      <c r="AI906" s="330"/>
      <c r="AJ906" s="330"/>
      <c r="AK906" s="330"/>
      <c r="AL906" s="330"/>
      <c r="AM906" s="330"/>
      <c r="AN906" s="328">
        <f>VLOOKUP("00-00180964",'Выгрузка из 1С'!$B$4:$K$2000,10,FALSE)</f>
        <v>5621</v>
      </c>
      <c r="AO906" s="328"/>
      <c r="AP906" s="328"/>
      <c r="AQ906" s="328"/>
      <c r="AR906" s="328"/>
      <c r="AS906" s="328"/>
      <c r="AT906" s="25"/>
      <c r="AU906" s="25"/>
      <c r="AV906" s="25"/>
      <c r="AW906" s="25"/>
      <c r="AX906" s="25"/>
    </row>
    <row r="907" spans="1:50" s="35" customFormat="1" ht="13.5" customHeight="1" x14ac:dyDescent="0.25">
      <c r="A907" s="25"/>
      <c r="B907" s="25"/>
      <c r="C907" s="331" t="s">
        <v>1165</v>
      </c>
      <c r="D907" s="331"/>
      <c r="E907" s="331"/>
      <c r="F907" s="331"/>
      <c r="G907" s="331"/>
      <c r="H907" s="330" t="s">
        <v>1223</v>
      </c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  <c r="AA907" s="330"/>
      <c r="AB907" s="330" t="s">
        <v>1266</v>
      </c>
      <c r="AC907" s="330"/>
      <c r="AD907" s="330"/>
      <c r="AE907" s="330"/>
      <c r="AF907" s="330"/>
      <c r="AG907" s="330"/>
      <c r="AH907" s="330" t="s">
        <v>1271</v>
      </c>
      <c r="AI907" s="330"/>
      <c r="AJ907" s="330"/>
      <c r="AK907" s="330"/>
      <c r="AL907" s="330"/>
      <c r="AM907" s="330"/>
      <c r="AN907" s="328">
        <f>VLOOKUP("00-00180971",'Выгрузка из 1С'!$B$4:$K$2000,10,FALSE)</f>
        <v>10535</v>
      </c>
      <c r="AO907" s="328"/>
      <c r="AP907" s="328"/>
      <c r="AQ907" s="328"/>
      <c r="AR907" s="328"/>
      <c r="AS907" s="328"/>
      <c r="AT907" s="25"/>
      <c r="AU907" s="25"/>
      <c r="AV907" s="25"/>
      <c r="AW907" s="25"/>
      <c r="AX907" s="25"/>
    </row>
    <row r="908" spans="1:50" s="35" customFormat="1" ht="13.5" customHeight="1" x14ac:dyDescent="0.25">
      <c r="A908" s="25"/>
      <c r="B908" s="25"/>
      <c r="C908" s="331" t="s">
        <v>1166</v>
      </c>
      <c r="D908" s="331"/>
      <c r="E908" s="331"/>
      <c r="F908" s="331"/>
      <c r="G908" s="331"/>
      <c r="H908" s="330" t="s">
        <v>1224</v>
      </c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  <c r="AA908" s="330"/>
      <c r="AB908" s="330" t="s">
        <v>1266</v>
      </c>
      <c r="AC908" s="330"/>
      <c r="AD908" s="330"/>
      <c r="AE908" s="330"/>
      <c r="AF908" s="330"/>
      <c r="AG908" s="330"/>
      <c r="AH908" s="330" t="s">
        <v>1271</v>
      </c>
      <c r="AI908" s="330"/>
      <c r="AJ908" s="330"/>
      <c r="AK908" s="330"/>
      <c r="AL908" s="330"/>
      <c r="AM908" s="330"/>
      <c r="AN908" s="328">
        <f>VLOOKUP("00-00180972",'Выгрузка из 1С'!$B$4:$K$2000,10,FALSE)</f>
        <v>11536</v>
      </c>
      <c r="AO908" s="328"/>
      <c r="AP908" s="328"/>
      <c r="AQ908" s="328"/>
      <c r="AR908" s="328"/>
      <c r="AS908" s="328"/>
      <c r="AT908" s="25"/>
      <c r="AU908" s="25"/>
      <c r="AV908" s="25"/>
      <c r="AW908" s="25"/>
      <c r="AX908" s="25"/>
    </row>
    <row r="909" spans="1:50" s="35" customFormat="1" ht="13.5" customHeight="1" x14ac:dyDescent="0.25">
      <c r="A909" s="25"/>
      <c r="B909" s="25"/>
      <c r="C909" s="331" t="s">
        <v>1167</v>
      </c>
      <c r="D909" s="331"/>
      <c r="E909" s="331"/>
      <c r="F909" s="331"/>
      <c r="G909" s="331"/>
      <c r="H909" s="330" t="s">
        <v>1225</v>
      </c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  <c r="AA909" s="330"/>
      <c r="AB909" s="330" t="s">
        <v>1266</v>
      </c>
      <c r="AC909" s="330"/>
      <c r="AD909" s="330"/>
      <c r="AE909" s="330"/>
      <c r="AF909" s="330"/>
      <c r="AG909" s="330"/>
      <c r="AH909" s="330" t="s">
        <v>1271</v>
      </c>
      <c r="AI909" s="330"/>
      <c r="AJ909" s="330"/>
      <c r="AK909" s="330"/>
      <c r="AL909" s="330"/>
      <c r="AM909" s="330"/>
      <c r="AN909" s="328">
        <f>VLOOKUP("00-00196043",'Выгрузка из 1С'!$B$4:$K$2000,10,FALSE)</f>
        <v>15155</v>
      </c>
      <c r="AO909" s="328"/>
      <c r="AP909" s="328"/>
      <c r="AQ909" s="328"/>
      <c r="AR909" s="328"/>
      <c r="AS909" s="328"/>
      <c r="AT909" s="25"/>
      <c r="AU909" s="25"/>
      <c r="AV909" s="25"/>
      <c r="AW909" s="25"/>
      <c r="AX909" s="25"/>
    </row>
    <row r="910" spans="1:50" s="35" customFormat="1" ht="13.5" customHeight="1" x14ac:dyDescent="0.25">
      <c r="A910" s="25"/>
      <c r="B910" s="25"/>
      <c r="C910" s="331" t="s">
        <v>1168</v>
      </c>
      <c r="D910" s="331"/>
      <c r="E910" s="331"/>
      <c r="F910" s="331"/>
      <c r="G910" s="331"/>
      <c r="H910" s="330" t="s">
        <v>1226</v>
      </c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  <c r="AA910" s="330"/>
      <c r="AB910" s="330" t="s">
        <v>1266</v>
      </c>
      <c r="AC910" s="330"/>
      <c r="AD910" s="330"/>
      <c r="AE910" s="330"/>
      <c r="AF910" s="330"/>
      <c r="AG910" s="330"/>
      <c r="AH910" s="330" t="s">
        <v>1271</v>
      </c>
      <c r="AI910" s="330"/>
      <c r="AJ910" s="330"/>
      <c r="AK910" s="330"/>
      <c r="AL910" s="330"/>
      <c r="AM910" s="330"/>
      <c r="AN910" s="328">
        <f>VLOOKUP("00-00180965",'Выгрузка из 1С'!$B$4:$K$2000,10,FALSE)</f>
        <v>10018</v>
      </c>
      <c r="AO910" s="328"/>
      <c r="AP910" s="328"/>
      <c r="AQ910" s="328"/>
      <c r="AR910" s="328"/>
      <c r="AS910" s="328"/>
      <c r="AT910" s="25"/>
      <c r="AU910" s="25"/>
      <c r="AV910" s="25"/>
      <c r="AW910" s="25"/>
      <c r="AX910" s="25"/>
    </row>
    <row r="911" spans="1:50" s="35" customFormat="1" ht="13.5" customHeight="1" x14ac:dyDescent="0.25">
      <c r="A911" s="25"/>
      <c r="B911" s="25"/>
      <c r="C911" s="331" t="s">
        <v>1169</v>
      </c>
      <c r="D911" s="331"/>
      <c r="E911" s="331"/>
      <c r="F911" s="331"/>
      <c r="G911" s="331"/>
      <c r="H911" s="330" t="s">
        <v>1227</v>
      </c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  <c r="AA911" s="330"/>
      <c r="AB911" s="330" t="s">
        <v>1266</v>
      </c>
      <c r="AC911" s="330"/>
      <c r="AD911" s="330"/>
      <c r="AE911" s="330"/>
      <c r="AF911" s="330"/>
      <c r="AG911" s="330"/>
      <c r="AH911" s="330" t="s">
        <v>1271</v>
      </c>
      <c r="AI911" s="330"/>
      <c r="AJ911" s="330"/>
      <c r="AK911" s="330"/>
      <c r="AL911" s="330"/>
      <c r="AM911" s="330"/>
      <c r="AN911" s="328">
        <f>VLOOKUP("00-00180966",'Выгрузка из 1С'!$B$4:$K$2000,10,FALSE)</f>
        <v>11017</v>
      </c>
      <c r="AO911" s="328"/>
      <c r="AP911" s="328"/>
      <c r="AQ911" s="328"/>
      <c r="AR911" s="328"/>
      <c r="AS911" s="328"/>
      <c r="AT911" s="25"/>
      <c r="AU911" s="25"/>
      <c r="AV911" s="25"/>
      <c r="AW911" s="25"/>
      <c r="AX911" s="25"/>
    </row>
    <row r="912" spans="1:50" s="35" customFormat="1" ht="13.5" customHeight="1" x14ac:dyDescent="0.25">
      <c r="A912" s="25"/>
      <c r="B912" s="25"/>
      <c r="C912" s="331" t="s">
        <v>1170</v>
      </c>
      <c r="D912" s="331"/>
      <c r="E912" s="331"/>
      <c r="F912" s="331"/>
      <c r="G912" s="331"/>
      <c r="H912" s="330" t="s">
        <v>1228</v>
      </c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  <c r="AA912" s="330"/>
      <c r="AB912" s="330" t="s">
        <v>1266</v>
      </c>
      <c r="AC912" s="330"/>
      <c r="AD912" s="330"/>
      <c r="AE912" s="330"/>
      <c r="AF912" s="330"/>
      <c r="AG912" s="330"/>
      <c r="AH912" s="330" t="s">
        <v>1271</v>
      </c>
      <c r="AI912" s="330"/>
      <c r="AJ912" s="330"/>
      <c r="AK912" s="330"/>
      <c r="AL912" s="330"/>
      <c r="AM912" s="330"/>
      <c r="AN912" s="328">
        <f>VLOOKUP("00-00180968",'Выгрузка из 1С'!$B$4:$K$2000,10,FALSE)</f>
        <v>22360</v>
      </c>
      <c r="AO912" s="328"/>
      <c r="AP912" s="328"/>
      <c r="AQ912" s="328"/>
      <c r="AR912" s="328"/>
      <c r="AS912" s="328"/>
      <c r="AT912" s="25"/>
      <c r="AU912" s="25"/>
      <c r="AV912" s="25"/>
      <c r="AW912" s="25"/>
      <c r="AX912" s="25"/>
    </row>
    <row r="913" spans="1:50" s="35" customFormat="1" ht="13.5" customHeight="1" x14ac:dyDescent="0.25">
      <c r="A913" s="25"/>
      <c r="B913" s="25"/>
      <c r="C913" s="331" t="s">
        <v>1171</v>
      </c>
      <c r="D913" s="331"/>
      <c r="E913" s="331"/>
      <c r="F913" s="331"/>
      <c r="G913" s="331"/>
      <c r="H913" s="330" t="s">
        <v>1229</v>
      </c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  <c r="AA913" s="330"/>
      <c r="AB913" s="330" t="s">
        <v>1266</v>
      </c>
      <c r="AC913" s="330"/>
      <c r="AD913" s="330"/>
      <c r="AE913" s="330"/>
      <c r="AF913" s="330"/>
      <c r="AG913" s="330"/>
      <c r="AH913" s="330" t="s">
        <v>1271</v>
      </c>
      <c r="AI913" s="330"/>
      <c r="AJ913" s="330"/>
      <c r="AK913" s="330"/>
      <c r="AL913" s="330"/>
      <c r="AM913" s="330"/>
      <c r="AN913" s="328">
        <f>VLOOKUP("00-00196045",'Выгрузка из 1С'!$B$4:$K$2000,10,FALSE)</f>
        <v>14174</v>
      </c>
      <c r="AO913" s="328"/>
      <c r="AP913" s="328"/>
      <c r="AQ913" s="328"/>
      <c r="AR913" s="328"/>
      <c r="AS913" s="328"/>
      <c r="AT913" s="25"/>
      <c r="AU913" s="25"/>
      <c r="AV913" s="25"/>
      <c r="AW913" s="25"/>
      <c r="AX913" s="25"/>
    </row>
    <row r="914" spans="1:50" s="35" customFormat="1" ht="13.5" customHeight="1" x14ac:dyDescent="0.25">
      <c r="A914" s="25"/>
      <c r="B914" s="25"/>
      <c r="C914" s="331" t="s">
        <v>1172</v>
      </c>
      <c r="D914" s="331"/>
      <c r="E914" s="331"/>
      <c r="F914" s="331"/>
      <c r="G914" s="331"/>
      <c r="H914" s="330" t="s">
        <v>1230</v>
      </c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  <c r="AA914" s="330"/>
      <c r="AB914" s="330" t="s">
        <v>1266</v>
      </c>
      <c r="AC914" s="330"/>
      <c r="AD914" s="330"/>
      <c r="AE914" s="330"/>
      <c r="AF914" s="330"/>
      <c r="AG914" s="330"/>
      <c r="AH914" s="330" t="s">
        <v>1271</v>
      </c>
      <c r="AI914" s="330"/>
      <c r="AJ914" s="330"/>
      <c r="AK914" s="330"/>
      <c r="AL914" s="330"/>
      <c r="AM914" s="330"/>
      <c r="AN914" s="328">
        <f>VLOOKUP("00-00196047",'Выгрузка из 1С'!$B$4:$K$2000,10,FALSE)</f>
        <v>25134</v>
      </c>
      <c r="AO914" s="328"/>
      <c r="AP914" s="328"/>
      <c r="AQ914" s="328"/>
      <c r="AR914" s="328"/>
      <c r="AS914" s="328"/>
      <c r="AT914" s="25"/>
      <c r="AU914" s="25"/>
      <c r="AV914" s="25"/>
      <c r="AW914" s="25"/>
      <c r="AX914" s="25"/>
    </row>
    <row r="915" spans="1:50" s="35" customFormat="1" ht="13.5" customHeight="1" x14ac:dyDescent="0.25">
      <c r="A915" s="25"/>
      <c r="B915" s="25"/>
      <c r="C915" s="331" t="s">
        <v>1173</v>
      </c>
      <c r="D915" s="331"/>
      <c r="E915" s="331"/>
      <c r="F915" s="331"/>
      <c r="G915" s="331"/>
      <c r="H915" s="330" t="s">
        <v>1231</v>
      </c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  <c r="AA915" s="330"/>
      <c r="AB915" s="330" t="s">
        <v>1267</v>
      </c>
      <c r="AC915" s="330"/>
      <c r="AD915" s="330"/>
      <c r="AE915" s="330"/>
      <c r="AF915" s="330"/>
      <c r="AG915" s="330"/>
      <c r="AH915" s="330" t="s">
        <v>1269</v>
      </c>
      <c r="AI915" s="330"/>
      <c r="AJ915" s="330"/>
      <c r="AK915" s="330"/>
      <c r="AL915" s="330"/>
      <c r="AM915" s="330"/>
      <c r="AN915" s="328">
        <f>VLOOKUP("00-00180793",'Выгрузка из 1С'!$B$4:$K$2000,10,FALSE)</f>
        <v>14736</v>
      </c>
      <c r="AO915" s="328"/>
      <c r="AP915" s="328"/>
      <c r="AQ915" s="328"/>
      <c r="AR915" s="328"/>
      <c r="AS915" s="328"/>
      <c r="AT915" s="25"/>
      <c r="AU915" s="25"/>
      <c r="AV915" s="25"/>
      <c r="AW915" s="25"/>
      <c r="AX915" s="25"/>
    </row>
    <row r="916" spans="1:50" s="35" customFormat="1" ht="13.5" customHeight="1" x14ac:dyDescent="0.25">
      <c r="A916" s="25"/>
      <c r="B916" s="25"/>
      <c r="C916" s="331" t="s">
        <v>1174</v>
      </c>
      <c r="D916" s="331"/>
      <c r="E916" s="331"/>
      <c r="F916" s="331"/>
      <c r="G916" s="331"/>
      <c r="H916" s="330" t="s">
        <v>1232</v>
      </c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  <c r="AA916" s="330"/>
      <c r="AB916" s="330" t="s">
        <v>1267</v>
      </c>
      <c r="AC916" s="330"/>
      <c r="AD916" s="330"/>
      <c r="AE916" s="330"/>
      <c r="AF916" s="330"/>
      <c r="AG916" s="330"/>
      <c r="AH916" s="330" t="s">
        <v>1269</v>
      </c>
      <c r="AI916" s="330"/>
      <c r="AJ916" s="330"/>
      <c r="AK916" s="330"/>
      <c r="AL916" s="330"/>
      <c r="AM916" s="330"/>
      <c r="AN916" s="328">
        <f>VLOOKUP("00-00180794",'Выгрузка из 1С'!$B$4:$K$2000,10,FALSE)</f>
        <v>16071</v>
      </c>
      <c r="AO916" s="328"/>
      <c r="AP916" s="328"/>
      <c r="AQ916" s="328"/>
      <c r="AR916" s="328"/>
      <c r="AS916" s="328"/>
      <c r="AT916" s="25"/>
      <c r="AU916" s="25"/>
      <c r="AV916" s="25"/>
      <c r="AW916" s="25"/>
      <c r="AX916" s="25"/>
    </row>
    <row r="917" spans="1:50" s="35" customFormat="1" ht="13.5" customHeight="1" x14ac:dyDescent="0.25">
      <c r="A917" s="25"/>
      <c r="B917" s="25"/>
      <c r="C917" s="331" t="s">
        <v>1175</v>
      </c>
      <c r="D917" s="331"/>
      <c r="E917" s="331"/>
      <c r="F917" s="331"/>
      <c r="G917" s="331"/>
      <c r="H917" s="330" t="s">
        <v>1233</v>
      </c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  <c r="AA917" s="330"/>
      <c r="AB917" s="330" t="s">
        <v>1267</v>
      </c>
      <c r="AC917" s="330"/>
      <c r="AD917" s="330"/>
      <c r="AE917" s="330"/>
      <c r="AF917" s="330"/>
      <c r="AG917" s="330"/>
      <c r="AH917" s="330" t="s">
        <v>1270</v>
      </c>
      <c r="AI917" s="330"/>
      <c r="AJ917" s="330"/>
      <c r="AK917" s="330"/>
      <c r="AL917" s="330"/>
      <c r="AM917" s="330"/>
      <c r="AN917" s="328">
        <f>VLOOKUP("00-00180795",'Выгрузка из 1С'!$B$4:$K$2000,10,FALSE)</f>
        <v>14355</v>
      </c>
      <c r="AO917" s="328"/>
      <c r="AP917" s="328"/>
      <c r="AQ917" s="328"/>
      <c r="AR917" s="328"/>
      <c r="AS917" s="328"/>
      <c r="AT917" s="25"/>
      <c r="AU917" s="25"/>
      <c r="AV917" s="25"/>
      <c r="AW917" s="25"/>
      <c r="AX917" s="25"/>
    </row>
    <row r="918" spans="1:50" s="35" customFormat="1" ht="13.5" customHeight="1" x14ac:dyDescent="0.25">
      <c r="A918" s="25"/>
      <c r="B918" s="25"/>
      <c r="C918" s="331" t="s">
        <v>1176</v>
      </c>
      <c r="D918" s="331"/>
      <c r="E918" s="331"/>
      <c r="F918" s="331"/>
      <c r="G918" s="331"/>
      <c r="H918" s="330" t="s">
        <v>1234</v>
      </c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  <c r="AA918" s="330"/>
      <c r="AB918" s="330" t="s">
        <v>1267</v>
      </c>
      <c r="AC918" s="330"/>
      <c r="AD918" s="330"/>
      <c r="AE918" s="330"/>
      <c r="AF918" s="330"/>
      <c r="AG918" s="330"/>
      <c r="AH918" s="330" t="s">
        <v>1270</v>
      </c>
      <c r="AI918" s="330"/>
      <c r="AJ918" s="330"/>
      <c r="AK918" s="330"/>
      <c r="AL918" s="330"/>
      <c r="AM918" s="330"/>
      <c r="AN918" s="328">
        <f>VLOOKUP("00-00180796",'Выгрузка из 1С'!$B$4:$K$2000,10,FALSE)</f>
        <v>15142</v>
      </c>
      <c r="AO918" s="328"/>
      <c r="AP918" s="328"/>
      <c r="AQ918" s="328"/>
      <c r="AR918" s="328"/>
      <c r="AS918" s="328"/>
      <c r="AT918" s="25"/>
      <c r="AU918" s="25"/>
      <c r="AV918" s="25"/>
      <c r="AW918" s="25"/>
      <c r="AX918" s="25"/>
    </row>
    <row r="919" spans="1:50" s="35" customFormat="1" ht="13.5" customHeight="1" x14ac:dyDescent="0.25">
      <c r="A919" s="25"/>
      <c r="B919" s="25"/>
      <c r="C919" s="331" t="s">
        <v>1177</v>
      </c>
      <c r="D919" s="331"/>
      <c r="E919" s="331"/>
      <c r="F919" s="331"/>
      <c r="G919" s="331"/>
      <c r="H919" s="330" t="s">
        <v>1235</v>
      </c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  <c r="AA919" s="330"/>
      <c r="AB919" s="330" t="s">
        <v>1267</v>
      </c>
      <c r="AC919" s="330"/>
      <c r="AD919" s="330"/>
      <c r="AE919" s="330"/>
      <c r="AF919" s="330"/>
      <c r="AG919" s="330"/>
      <c r="AH919" s="330" t="s">
        <v>1270</v>
      </c>
      <c r="AI919" s="330"/>
      <c r="AJ919" s="330"/>
      <c r="AK919" s="330"/>
      <c r="AL919" s="330"/>
      <c r="AM919" s="330"/>
      <c r="AN919" s="328">
        <f>VLOOKUP("УТ-00096874",'Выгрузка из 1С'!$B$4:$K$2000,10,FALSE)</f>
        <v>9095</v>
      </c>
      <c r="AO919" s="328"/>
      <c r="AP919" s="328"/>
      <c r="AQ919" s="328"/>
      <c r="AR919" s="328"/>
      <c r="AS919" s="328"/>
      <c r="AT919" s="25"/>
      <c r="AU919" s="25"/>
      <c r="AV919" s="25"/>
      <c r="AW919" s="25"/>
      <c r="AX919" s="25"/>
    </row>
    <row r="920" spans="1:50" s="35" customFormat="1" ht="13.5" customHeight="1" x14ac:dyDescent="0.25">
      <c r="A920" s="25"/>
      <c r="B920" s="25"/>
      <c r="C920" s="331" t="s">
        <v>1178</v>
      </c>
      <c r="D920" s="331"/>
      <c r="E920" s="331"/>
      <c r="F920" s="331"/>
      <c r="G920" s="331"/>
      <c r="H920" s="330" t="s">
        <v>1236</v>
      </c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  <c r="AA920" s="330"/>
      <c r="AB920" s="330" t="s">
        <v>1267</v>
      </c>
      <c r="AC920" s="330"/>
      <c r="AD920" s="330"/>
      <c r="AE920" s="330"/>
      <c r="AF920" s="330"/>
      <c r="AG920" s="330"/>
      <c r="AH920" s="330" t="s">
        <v>1270</v>
      </c>
      <c r="AI920" s="330"/>
      <c r="AJ920" s="330"/>
      <c r="AK920" s="330"/>
      <c r="AL920" s="330"/>
      <c r="AM920" s="330"/>
      <c r="AN920" s="328">
        <f>VLOOKUP("УТ-00042454",'Выгрузка из 1С'!$B$4:$K$2000,10,FALSE)</f>
        <v>10095</v>
      </c>
      <c r="AO920" s="328"/>
      <c r="AP920" s="328"/>
      <c r="AQ920" s="328"/>
      <c r="AR920" s="328"/>
      <c r="AS920" s="328"/>
      <c r="AT920" s="25"/>
      <c r="AU920" s="25"/>
      <c r="AV920" s="25"/>
      <c r="AW920" s="25"/>
      <c r="AX920" s="25"/>
    </row>
    <row r="921" spans="1:50" s="35" customFormat="1" ht="13.5" customHeight="1" x14ac:dyDescent="0.25">
      <c r="A921" s="25"/>
      <c r="B921" s="25"/>
      <c r="C921" s="331" t="s">
        <v>1179</v>
      </c>
      <c r="D921" s="331"/>
      <c r="E921" s="331"/>
      <c r="F921" s="331"/>
      <c r="G921" s="331"/>
      <c r="H921" s="330" t="s">
        <v>1237</v>
      </c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  <c r="AA921" s="330"/>
      <c r="AB921" s="330" t="s">
        <v>1267</v>
      </c>
      <c r="AC921" s="330"/>
      <c r="AD921" s="330"/>
      <c r="AE921" s="330"/>
      <c r="AF921" s="330"/>
      <c r="AG921" s="330"/>
      <c r="AH921" s="330" t="s">
        <v>1270</v>
      </c>
      <c r="AI921" s="330"/>
      <c r="AJ921" s="330"/>
      <c r="AK921" s="330"/>
      <c r="AL921" s="330"/>
      <c r="AM921" s="330"/>
      <c r="AN921" s="328">
        <f>VLOOKUP("00-00180836",'Выгрузка из 1С'!$B$4:$K$2000,10,FALSE)</f>
        <v>6464</v>
      </c>
      <c r="AO921" s="328"/>
      <c r="AP921" s="328"/>
      <c r="AQ921" s="328"/>
      <c r="AR921" s="328"/>
      <c r="AS921" s="328"/>
      <c r="AT921" s="25"/>
      <c r="AU921" s="25"/>
      <c r="AV921" s="25"/>
      <c r="AW921" s="25"/>
      <c r="AX921" s="25"/>
    </row>
    <row r="922" spans="1:50" s="35" customFormat="1" ht="13.5" customHeight="1" x14ac:dyDescent="0.25">
      <c r="A922" s="25"/>
      <c r="B922" s="25"/>
      <c r="C922" s="331" t="s">
        <v>1180</v>
      </c>
      <c r="D922" s="331"/>
      <c r="E922" s="331"/>
      <c r="F922" s="331"/>
      <c r="G922" s="331"/>
      <c r="H922" s="330" t="s">
        <v>1238</v>
      </c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  <c r="AA922" s="330"/>
      <c r="AB922" s="330" t="s">
        <v>1267</v>
      </c>
      <c r="AC922" s="330"/>
      <c r="AD922" s="330"/>
      <c r="AE922" s="330"/>
      <c r="AF922" s="330"/>
      <c r="AG922" s="330"/>
      <c r="AH922" s="330" t="s">
        <v>1270</v>
      </c>
      <c r="AI922" s="330"/>
      <c r="AJ922" s="330"/>
      <c r="AK922" s="330"/>
      <c r="AL922" s="330"/>
      <c r="AM922" s="330"/>
      <c r="AN922" s="328">
        <f>VLOOKUP("00-00181856",'Выгрузка из 1С'!$B$4:$K$2000,10,FALSE)</f>
        <v>7317</v>
      </c>
      <c r="AO922" s="328"/>
      <c r="AP922" s="328"/>
      <c r="AQ922" s="328"/>
      <c r="AR922" s="328"/>
      <c r="AS922" s="328"/>
      <c r="AT922" s="25"/>
      <c r="AU922" s="25"/>
      <c r="AV922" s="25"/>
      <c r="AW922" s="25"/>
      <c r="AX922" s="25"/>
    </row>
    <row r="923" spans="1:50" s="35" customFormat="1" ht="13.5" customHeight="1" x14ac:dyDescent="0.25">
      <c r="A923" s="25"/>
      <c r="B923" s="25"/>
      <c r="C923" s="331" t="s">
        <v>1181</v>
      </c>
      <c r="D923" s="331"/>
      <c r="E923" s="331"/>
      <c r="F923" s="331"/>
      <c r="G923" s="331"/>
      <c r="H923" s="330" t="s">
        <v>1239</v>
      </c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  <c r="AA923" s="330"/>
      <c r="AB923" s="330" t="s">
        <v>1267</v>
      </c>
      <c r="AC923" s="330"/>
      <c r="AD923" s="330"/>
      <c r="AE923" s="330"/>
      <c r="AF923" s="330"/>
      <c r="AG923" s="330"/>
      <c r="AH923" s="330" t="s">
        <v>1270</v>
      </c>
      <c r="AI923" s="330"/>
      <c r="AJ923" s="330"/>
      <c r="AK923" s="330"/>
      <c r="AL923" s="330"/>
      <c r="AM923" s="330"/>
      <c r="AN923" s="328">
        <f>VLOOKUP("00-00196049",'Выгрузка из 1С'!$B$4:$K$2000,10,FALSE)</f>
        <v>12648</v>
      </c>
      <c r="AO923" s="328"/>
      <c r="AP923" s="328"/>
      <c r="AQ923" s="328"/>
      <c r="AR923" s="328"/>
      <c r="AS923" s="328"/>
      <c r="AT923" s="25"/>
      <c r="AU923" s="25"/>
      <c r="AV923" s="25"/>
      <c r="AW923" s="25"/>
      <c r="AX923" s="25"/>
    </row>
    <row r="924" spans="1:50" s="35" customFormat="1" ht="13.5" customHeight="1" x14ac:dyDescent="0.25">
      <c r="A924" s="25"/>
      <c r="B924" s="25"/>
      <c r="C924" s="331" t="s">
        <v>1182</v>
      </c>
      <c r="D924" s="331"/>
      <c r="E924" s="331"/>
      <c r="F924" s="331"/>
      <c r="G924" s="331"/>
      <c r="H924" s="330" t="s">
        <v>1240</v>
      </c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  <c r="AA924" s="330"/>
      <c r="AB924" s="330" t="s">
        <v>1267</v>
      </c>
      <c r="AC924" s="330"/>
      <c r="AD924" s="330"/>
      <c r="AE924" s="330"/>
      <c r="AF924" s="330"/>
      <c r="AG924" s="330"/>
      <c r="AH924" s="330" t="s">
        <v>1270</v>
      </c>
      <c r="AI924" s="330"/>
      <c r="AJ924" s="330"/>
      <c r="AK924" s="330"/>
      <c r="AL924" s="330"/>
      <c r="AM924" s="330"/>
      <c r="AN924" s="328">
        <f>VLOOKUP("00-00196019",'Выгрузка из 1С'!$B$4:$K$2000,10,FALSE)</f>
        <v>13316</v>
      </c>
      <c r="AO924" s="328"/>
      <c r="AP924" s="328"/>
      <c r="AQ924" s="328"/>
      <c r="AR924" s="328"/>
      <c r="AS924" s="328"/>
      <c r="AT924" s="25"/>
      <c r="AU924" s="25"/>
      <c r="AV924" s="25"/>
      <c r="AW924" s="25"/>
      <c r="AX924" s="25"/>
    </row>
    <row r="925" spans="1:50" s="35" customFormat="1" ht="13.5" customHeight="1" x14ac:dyDescent="0.25">
      <c r="A925" s="25"/>
      <c r="B925" s="25"/>
      <c r="C925" s="331" t="s">
        <v>1183</v>
      </c>
      <c r="D925" s="331"/>
      <c r="E925" s="331"/>
      <c r="F925" s="331"/>
      <c r="G925" s="331"/>
      <c r="H925" s="330" t="s">
        <v>1241</v>
      </c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  <c r="AA925" s="330"/>
      <c r="AB925" s="330" t="s">
        <v>1267</v>
      </c>
      <c r="AC925" s="330"/>
      <c r="AD925" s="330"/>
      <c r="AE925" s="330"/>
      <c r="AF925" s="330"/>
      <c r="AG925" s="330"/>
      <c r="AH925" s="330" t="s">
        <v>1270</v>
      </c>
      <c r="AI925" s="330"/>
      <c r="AJ925" s="330"/>
      <c r="AK925" s="330"/>
      <c r="AL925" s="330"/>
      <c r="AM925" s="330"/>
      <c r="AN925" s="328">
        <f>VLOOKUP("00-00180835",'Выгрузка из 1С'!$B$4:$K$2000,10,FALSE)</f>
        <v>6142</v>
      </c>
      <c r="AO925" s="328"/>
      <c r="AP925" s="328"/>
      <c r="AQ925" s="328"/>
      <c r="AR925" s="328"/>
      <c r="AS925" s="328"/>
      <c r="AT925" s="25"/>
      <c r="AU925" s="25"/>
      <c r="AV925" s="25"/>
      <c r="AW925" s="25"/>
      <c r="AX925" s="25"/>
    </row>
    <row r="926" spans="1:50" s="35" customFormat="1" ht="13.5" customHeight="1" x14ac:dyDescent="0.25">
      <c r="A926" s="25"/>
      <c r="B926" s="25"/>
      <c r="C926" s="331" t="s">
        <v>1184</v>
      </c>
      <c r="D926" s="331"/>
      <c r="E926" s="331"/>
      <c r="F926" s="331"/>
      <c r="G926" s="331"/>
      <c r="H926" s="330" t="s">
        <v>1242</v>
      </c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  <c r="AA926" s="330"/>
      <c r="AB926" s="330" t="s">
        <v>1267</v>
      </c>
      <c r="AC926" s="330"/>
      <c r="AD926" s="330"/>
      <c r="AE926" s="330"/>
      <c r="AF926" s="330"/>
      <c r="AG926" s="330"/>
      <c r="AH926" s="330" t="s">
        <v>1269</v>
      </c>
      <c r="AI926" s="330"/>
      <c r="AJ926" s="330"/>
      <c r="AK926" s="330"/>
      <c r="AL926" s="330"/>
      <c r="AM926" s="330"/>
      <c r="AN926" s="328">
        <f>VLOOKUP("00-00180831",'Выгрузка из 1С'!$B$4:$K$2000,10,FALSE)</f>
        <v>6618</v>
      </c>
      <c r="AO926" s="328"/>
      <c r="AP926" s="328"/>
      <c r="AQ926" s="328"/>
      <c r="AR926" s="328"/>
      <c r="AS926" s="328"/>
      <c r="AT926" s="25"/>
      <c r="AU926" s="25"/>
      <c r="AV926" s="25"/>
      <c r="AW926" s="25"/>
      <c r="AX926" s="25"/>
    </row>
    <row r="927" spans="1:50" s="35" customFormat="1" ht="13.5" customHeight="1" x14ac:dyDescent="0.25">
      <c r="A927" s="25"/>
      <c r="B927" s="25"/>
      <c r="C927" s="331" t="s">
        <v>1185</v>
      </c>
      <c r="D927" s="331"/>
      <c r="E927" s="331"/>
      <c r="F927" s="331"/>
      <c r="G927" s="331"/>
      <c r="H927" s="330" t="s">
        <v>1243</v>
      </c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  <c r="AA927" s="330"/>
      <c r="AB927" s="330" t="s">
        <v>1267</v>
      </c>
      <c r="AC927" s="330"/>
      <c r="AD927" s="330"/>
      <c r="AE927" s="330"/>
      <c r="AF927" s="330"/>
      <c r="AG927" s="330"/>
      <c r="AH927" s="330" t="s">
        <v>1269</v>
      </c>
      <c r="AI927" s="330"/>
      <c r="AJ927" s="330"/>
      <c r="AK927" s="330"/>
      <c r="AL927" s="330"/>
      <c r="AM927" s="330"/>
      <c r="AN927" s="328">
        <f>VLOOKUP("00-00180832",'Выгрузка из 1С'!$B$4:$K$2000,10,FALSE)</f>
        <v>7473</v>
      </c>
      <c r="AO927" s="328"/>
      <c r="AP927" s="328"/>
      <c r="AQ927" s="328"/>
      <c r="AR927" s="328"/>
      <c r="AS927" s="328"/>
      <c r="AT927" s="25"/>
      <c r="AU927" s="25"/>
      <c r="AV927" s="25"/>
      <c r="AW927" s="25"/>
      <c r="AX927" s="25"/>
    </row>
    <row r="928" spans="1:50" s="35" customFormat="1" ht="13.5" customHeight="1" x14ac:dyDescent="0.25">
      <c r="A928" s="25"/>
      <c r="B928" s="25"/>
      <c r="C928" s="331" t="s">
        <v>1186</v>
      </c>
      <c r="D928" s="331"/>
      <c r="E928" s="331"/>
      <c r="F928" s="331"/>
      <c r="G928" s="331"/>
      <c r="H928" s="330" t="s">
        <v>1244</v>
      </c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  <c r="AA928" s="330"/>
      <c r="AB928" s="330" t="s">
        <v>1267</v>
      </c>
      <c r="AC928" s="330"/>
      <c r="AD928" s="330"/>
      <c r="AE928" s="330"/>
      <c r="AF928" s="330"/>
      <c r="AG928" s="330"/>
      <c r="AH928" s="330" t="s">
        <v>1269</v>
      </c>
      <c r="AI928" s="330"/>
      <c r="AJ928" s="330"/>
      <c r="AK928" s="330"/>
      <c r="AL928" s="330"/>
      <c r="AM928" s="330"/>
      <c r="AN928" s="328">
        <f>VLOOKUP("00-00180555",'Выгрузка из 1С'!$B$4:$K$2000,10,FALSE)</f>
        <v>6142</v>
      </c>
      <c r="AO928" s="328"/>
      <c r="AP928" s="328"/>
      <c r="AQ928" s="328"/>
      <c r="AR928" s="328"/>
      <c r="AS928" s="328"/>
      <c r="AT928" s="25"/>
      <c r="AU928" s="25"/>
      <c r="AV928" s="25"/>
      <c r="AW928" s="25"/>
      <c r="AX928" s="25"/>
    </row>
    <row r="929" spans="1:50" s="35" customFormat="1" ht="13.5" customHeight="1" x14ac:dyDescent="0.25">
      <c r="A929" s="25"/>
      <c r="B929" s="25"/>
      <c r="C929" s="331" t="s">
        <v>1187</v>
      </c>
      <c r="D929" s="331"/>
      <c r="E929" s="331"/>
      <c r="F929" s="331"/>
      <c r="G929" s="331"/>
      <c r="H929" s="330" t="s">
        <v>1245</v>
      </c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  <c r="AA929" s="330"/>
      <c r="AB929" s="330" t="s">
        <v>1267</v>
      </c>
      <c r="AC929" s="330"/>
      <c r="AD929" s="330"/>
      <c r="AE929" s="330"/>
      <c r="AF929" s="330"/>
      <c r="AG929" s="330"/>
      <c r="AH929" s="330" t="s">
        <v>1269</v>
      </c>
      <c r="AI929" s="330"/>
      <c r="AJ929" s="330"/>
      <c r="AK929" s="330"/>
      <c r="AL929" s="330"/>
      <c r="AM929" s="330"/>
      <c r="AN929" s="328">
        <f>VLOOKUP("00-00180827",'Выгрузка из 1С'!$B$4:$K$2000,10,FALSE)</f>
        <v>6995</v>
      </c>
      <c r="AO929" s="328"/>
      <c r="AP929" s="328"/>
      <c r="AQ929" s="328"/>
      <c r="AR929" s="328"/>
      <c r="AS929" s="328"/>
      <c r="AT929" s="25"/>
      <c r="AU929" s="25"/>
      <c r="AV929" s="25"/>
      <c r="AW929" s="25"/>
      <c r="AX929" s="25"/>
    </row>
    <row r="930" spans="1:50" s="35" customFormat="1" ht="13.5" customHeight="1" x14ac:dyDescent="0.25">
      <c r="A930" s="25"/>
      <c r="B930" s="25"/>
      <c r="C930" s="331" t="s">
        <v>1188</v>
      </c>
      <c r="D930" s="331"/>
      <c r="E930" s="331"/>
      <c r="F930" s="331"/>
      <c r="G930" s="331"/>
      <c r="H930" s="330" t="s">
        <v>1246</v>
      </c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  <c r="AA930" s="330"/>
      <c r="AB930" s="330" t="s">
        <v>1267</v>
      </c>
      <c r="AC930" s="330"/>
      <c r="AD930" s="330"/>
      <c r="AE930" s="330"/>
      <c r="AF930" s="330"/>
      <c r="AG930" s="330"/>
      <c r="AH930" s="330" t="s">
        <v>1271</v>
      </c>
      <c r="AI930" s="330"/>
      <c r="AJ930" s="330"/>
      <c r="AK930" s="330"/>
      <c r="AL930" s="330"/>
      <c r="AM930" s="330"/>
      <c r="AN930" s="328">
        <f>VLOOKUP("00-00180833",'Выгрузка из 1С'!$B$4:$K$2000,10,FALSE)</f>
        <v>12540</v>
      </c>
      <c r="AO930" s="328"/>
      <c r="AP930" s="328"/>
      <c r="AQ930" s="328"/>
      <c r="AR930" s="328"/>
      <c r="AS930" s="328"/>
      <c r="AT930" s="25"/>
      <c r="AU930" s="25"/>
      <c r="AV930" s="25"/>
      <c r="AW930" s="25"/>
      <c r="AX930" s="25"/>
    </row>
    <row r="931" spans="1:50" s="35" customFormat="1" ht="13.5" customHeight="1" x14ac:dyDescent="0.25">
      <c r="A931" s="25"/>
      <c r="B931" s="25"/>
      <c r="C931" s="331" t="s">
        <v>1189</v>
      </c>
      <c r="D931" s="331"/>
      <c r="E931" s="331"/>
      <c r="F931" s="331"/>
      <c r="G931" s="331"/>
      <c r="H931" s="330" t="s">
        <v>1247</v>
      </c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  <c r="AA931" s="330"/>
      <c r="AB931" s="330" t="s">
        <v>1267</v>
      </c>
      <c r="AC931" s="330"/>
      <c r="AD931" s="330"/>
      <c r="AE931" s="330"/>
      <c r="AF931" s="330"/>
      <c r="AG931" s="330"/>
      <c r="AH931" s="330" t="s">
        <v>1271</v>
      </c>
      <c r="AI931" s="330"/>
      <c r="AJ931" s="330"/>
      <c r="AK931" s="330"/>
      <c r="AL931" s="330"/>
      <c r="AM931" s="330"/>
      <c r="AN931" s="328">
        <f>VLOOKUP("00-00180834",'Выгрузка из 1С'!$B$4:$K$2000,10,FALSE)</f>
        <v>13542</v>
      </c>
      <c r="AO931" s="328"/>
      <c r="AP931" s="328"/>
      <c r="AQ931" s="328"/>
      <c r="AR931" s="328"/>
      <c r="AS931" s="328"/>
      <c r="AT931" s="25"/>
      <c r="AU931" s="25"/>
      <c r="AV931" s="25"/>
      <c r="AW931" s="25"/>
      <c r="AX931" s="25"/>
    </row>
    <row r="932" spans="1:50" s="35" customFormat="1" ht="13.5" customHeight="1" x14ac:dyDescent="0.25">
      <c r="A932" s="25"/>
      <c r="B932" s="25"/>
      <c r="C932" s="331" t="s">
        <v>1190</v>
      </c>
      <c r="D932" s="331"/>
      <c r="E932" s="331"/>
      <c r="F932" s="331"/>
      <c r="G932" s="331"/>
      <c r="H932" s="330" t="s">
        <v>1248</v>
      </c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  <c r="AA932" s="330"/>
      <c r="AB932" s="330" t="s">
        <v>1267</v>
      </c>
      <c r="AC932" s="330"/>
      <c r="AD932" s="330"/>
      <c r="AE932" s="330"/>
      <c r="AF932" s="330"/>
      <c r="AG932" s="330"/>
      <c r="AH932" s="330" t="s">
        <v>1271</v>
      </c>
      <c r="AI932" s="330"/>
      <c r="AJ932" s="330"/>
      <c r="AK932" s="330"/>
      <c r="AL932" s="330"/>
      <c r="AM932" s="330"/>
      <c r="AN932" s="328">
        <f>VLOOKUP("00-00196051",'Выгрузка из 1С'!$B$4:$K$2000,10,FALSE)</f>
        <v>17121</v>
      </c>
      <c r="AO932" s="328"/>
      <c r="AP932" s="328"/>
      <c r="AQ932" s="328"/>
      <c r="AR932" s="328"/>
      <c r="AS932" s="328"/>
      <c r="AT932" s="25"/>
      <c r="AU932" s="25"/>
      <c r="AV932" s="25"/>
      <c r="AW932" s="25"/>
      <c r="AX932" s="25"/>
    </row>
    <row r="933" spans="1:50" s="35" customFormat="1" ht="13.5" customHeight="1" x14ac:dyDescent="0.25">
      <c r="A933" s="25"/>
      <c r="B933" s="25"/>
      <c r="C933" s="331" t="s">
        <v>1191</v>
      </c>
      <c r="D933" s="331"/>
      <c r="E933" s="331"/>
      <c r="F933" s="331"/>
      <c r="G933" s="331"/>
      <c r="H933" s="330" t="s">
        <v>1249</v>
      </c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  <c r="AA933" s="330"/>
      <c r="AB933" s="330" t="s">
        <v>1267</v>
      </c>
      <c r="AC933" s="330"/>
      <c r="AD933" s="330"/>
      <c r="AE933" s="330"/>
      <c r="AF933" s="330"/>
      <c r="AG933" s="330"/>
      <c r="AH933" s="330" t="s">
        <v>1271</v>
      </c>
      <c r="AI933" s="330"/>
      <c r="AJ933" s="330"/>
      <c r="AK933" s="330"/>
      <c r="AL933" s="330"/>
      <c r="AM933" s="330"/>
      <c r="AN933" s="328">
        <f>VLOOKUP("00-00180828",'Выгрузка из 1С'!$B$4:$K$2000,10,FALSE)</f>
        <v>12285</v>
      </c>
      <c r="AO933" s="328"/>
      <c r="AP933" s="328"/>
      <c r="AQ933" s="328"/>
      <c r="AR933" s="328"/>
      <c r="AS933" s="328"/>
      <c r="AT933" s="25"/>
      <c r="AU933" s="25"/>
      <c r="AV933" s="25"/>
      <c r="AW933" s="25"/>
      <c r="AX933" s="25"/>
    </row>
    <row r="934" spans="1:50" s="35" customFormat="1" ht="13.5" customHeight="1" x14ac:dyDescent="0.25">
      <c r="A934" s="25"/>
      <c r="B934" s="25"/>
      <c r="C934" s="331" t="s">
        <v>1192</v>
      </c>
      <c r="D934" s="331"/>
      <c r="E934" s="331"/>
      <c r="F934" s="331"/>
      <c r="G934" s="331"/>
      <c r="H934" s="330" t="s">
        <v>1250</v>
      </c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  <c r="AA934" s="330"/>
      <c r="AB934" s="330" t="s">
        <v>1267</v>
      </c>
      <c r="AC934" s="330"/>
      <c r="AD934" s="330"/>
      <c r="AE934" s="330"/>
      <c r="AF934" s="330"/>
      <c r="AG934" s="330"/>
      <c r="AH934" s="330" t="s">
        <v>1271</v>
      </c>
      <c r="AI934" s="330"/>
      <c r="AJ934" s="330"/>
      <c r="AK934" s="330"/>
      <c r="AL934" s="330"/>
      <c r="AM934" s="330"/>
      <c r="AN934" s="328">
        <f>VLOOKUP("00-00180829",'Выгрузка из 1С'!$B$4:$K$2000,10,FALSE)</f>
        <v>13285</v>
      </c>
      <c r="AO934" s="328"/>
      <c r="AP934" s="328"/>
      <c r="AQ934" s="328"/>
      <c r="AR934" s="328"/>
      <c r="AS934" s="328"/>
      <c r="AT934" s="25"/>
      <c r="AU934" s="25"/>
      <c r="AV934" s="25"/>
      <c r="AW934" s="25"/>
      <c r="AX934" s="25"/>
    </row>
    <row r="935" spans="1:50" s="35" customFormat="1" ht="13.5" customHeight="1" x14ac:dyDescent="0.25">
      <c r="A935" s="25"/>
      <c r="B935" s="25"/>
      <c r="C935" s="331" t="s">
        <v>1193</v>
      </c>
      <c r="D935" s="331"/>
      <c r="E935" s="331"/>
      <c r="F935" s="331"/>
      <c r="G935" s="331"/>
      <c r="H935" s="330" t="s">
        <v>1251</v>
      </c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  <c r="AA935" s="330"/>
      <c r="AB935" s="330" t="s">
        <v>1267</v>
      </c>
      <c r="AC935" s="330"/>
      <c r="AD935" s="330"/>
      <c r="AE935" s="330"/>
      <c r="AF935" s="330"/>
      <c r="AG935" s="330"/>
      <c r="AH935" s="330" t="s">
        <v>1271</v>
      </c>
      <c r="AI935" s="330"/>
      <c r="AJ935" s="330"/>
      <c r="AK935" s="330"/>
      <c r="AL935" s="330"/>
      <c r="AM935" s="330"/>
      <c r="AN935" s="328">
        <f>VLOOKUP("00-00180830",'Выгрузка из 1С'!$B$4:$K$2000,10,FALSE)</f>
        <v>25596</v>
      </c>
      <c r="AO935" s="328"/>
      <c r="AP935" s="328"/>
      <c r="AQ935" s="328"/>
      <c r="AR935" s="328"/>
      <c r="AS935" s="328"/>
      <c r="AT935" s="25"/>
      <c r="AU935" s="25"/>
      <c r="AV935" s="25"/>
      <c r="AW935" s="25"/>
      <c r="AX935" s="25"/>
    </row>
    <row r="936" spans="1:50" s="35" customFormat="1" ht="13.5" customHeight="1" x14ac:dyDescent="0.25">
      <c r="A936" s="25"/>
      <c r="B936" s="25"/>
      <c r="C936" s="331" t="s">
        <v>1194</v>
      </c>
      <c r="D936" s="331"/>
      <c r="E936" s="331"/>
      <c r="F936" s="331"/>
      <c r="G936" s="331"/>
      <c r="H936" s="330" t="s">
        <v>1252</v>
      </c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  <c r="AA936" s="330"/>
      <c r="AB936" s="330" t="s">
        <v>1267</v>
      </c>
      <c r="AC936" s="330"/>
      <c r="AD936" s="330"/>
      <c r="AE936" s="330"/>
      <c r="AF936" s="330"/>
      <c r="AG936" s="330"/>
      <c r="AH936" s="330" t="s">
        <v>1271</v>
      </c>
      <c r="AI936" s="330"/>
      <c r="AJ936" s="330"/>
      <c r="AK936" s="330"/>
      <c r="AL936" s="330"/>
      <c r="AM936" s="330"/>
      <c r="AN936" s="328">
        <f>VLOOKUP("00-00196053",'Выгрузка из 1С'!$B$4:$K$2000,10,FALSE)</f>
        <v>16140</v>
      </c>
      <c r="AO936" s="328"/>
      <c r="AP936" s="328"/>
      <c r="AQ936" s="328"/>
      <c r="AR936" s="328"/>
      <c r="AS936" s="328"/>
      <c r="AT936" s="25"/>
      <c r="AU936" s="25"/>
      <c r="AV936" s="25"/>
      <c r="AW936" s="25"/>
      <c r="AX936" s="25"/>
    </row>
    <row r="937" spans="1:50" s="35" customFormat="1" ht="13.5" customHeight="1" x14ac:dyDescent="0.25">
      <c r="A937" s="25"/>
      <c r="B937" s="25"/>
      <c r="C937" s="331" t="s">
        <v>1195</v>
      </c>
      <c r="D937" s="331"/>
      <c r="E937" s="331"/>
      <c r="F937" s="331"/>
      <c r="G937" s="331"/>
      <c r="H937" s="330" t="s">
        <v>1253</v>
      </c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  <c r="AA937" s="330"/>
      <c r="AB937" s="330" t="s">
        <v>1267</v>
      </c>
      <c r="AC937" s="330"/>
      <c r="AD937" s="330"/>
      <c r="AE937" s="330"/>
      <c r="AF937" s="330"/>
      <c r="AG937" s="330"/>
      <c r="AH937" s="330" t="s">
        <v>1271</v>
      </c>
      <c r="AI937" s="330"/>
      <c r="AJ937" s="330"/>
      <c r="AK937" s="330"/>
      <c r="AL937" s="330"/>
      <c r="AM937" s="330"/>
      <c r="AN937" s="328">
        <f>VLOOKUP("00-00196055",'Выгрузка из 1С'!$B$4:$K$2000,10,FALSE)</f>
        <v>27512</v>
      </c>
      <c r="AO937" s="328"/>
      <c r="AP937" s="328"/>
      <c r="AQ937" s="328"/>
      <c r="AR937" s="328"/>
      <c r="AS937" s="328"/>
      <c r="AT937" s="25"/>
      <c r="AU937" s="25"/>
      <c r="AV937" s="25"/>
      <c r="AW937" s="25"/>
      <c r="AX937" s="25"/>
    </row>
    <row r="938" spans="1:50" s="35" customFormat="1" ht="13.5" customHeight="1" x14ac:dyDescent="0.25">
      <c r="A938" s="25"/>
      <c r="B938" s="25"/>
      <c r="C938" s="331" t="s">
        <v>1196</v>
      </c>
      <c r="D938" s="331"/>
      <c r="E938" s="331"/>
      <c r="F938" s="331"/>
      <c r="G938" s="331"/>
      <c r="H938" s="330" t="s">
        <v>1254</v>
      </c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  <c r="AA938" s="330"/>
      <c r="AB938" s="330" t="s">
        <v>1268</v>
      </c>
      <c r="AC938" s="330"/>
      <c r="AD938" s="330"/>
      <c r="AE938" s="330"/>
      <c r="AF938" s="330"/>
      <c r="AG938" s="330"/>
      <c r="AH938" s="330" t="s">
        <v>1272</v>
      </c>
      <c r="AI938" s="330"/>
      <c r="AJ938" s="330"/>
      <c r="AK938" s="330"/>
      <c r="AL938" s="330"/>
      <c r="AM938" s="330"/>
      <c r="AN938" s="328">
        <f>VLOOKUP("00-00180991",'Выгрузка из 1С'!$B$4:$K$2000,10,FALSE)</f>
        <v>21450</v>
      </c>
      <c r="AO938" s="328"/>
      <c r="AP938" s="328"/>
      <c r="AQ938" s="328"/>
      <c r="AR938" s="328"/>
      <c r="AS938" s="328"/>
      <c r="AT938" s="25"/>
      <c r="AU938" s="25"/>
      <c r="AV938" s="25"/>
      <c r="AW938" s="25"/>
      <c r="AX938" s="25"/>
    </row>
    <row r="939" spans="1:50" s="35" customFormat="1" ht="13.5" customHeight="1" x14ac:dyDescent="0.25">
      <c r="A939" s="25"/>
      <c r="B939" s="25"/>
      <c r="C939" s="331" t="s">
        <v>1197</v>
      </c>
      <c r="D939" s="331"/>
      <c r="E939" s="331"/>
      <c r="F939" s="331"/>
      <c r="G939" s="331"/>
      <c r="H939" s="330" t="s">
        <v>1255</v>
      </c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  <c r="AA939" s="330"/>
      <c r="AB939" s="330" t="s">
        <v>1268</v>
      </c>
      <c r="AC939" s="330"/>
      <c r="AD939" s="330"/>
      <c r="AE939" s="330"/>
      <c r="AF939" s="330"/>
      <c r="AG939" s="330"/>
      <c r="AH939" s="330" t="s">
        <v>1272</v>
      </c>
      <c r="AI939" s="330"/>
      <c r="AJ939" s="330"/>
      <c r="AK939" s="330"/>
      <c r="AL939" s="330"/>
      <c r="AM939" s="330"/>
      <c r="AN939" s="328">
        <f>VLOOKUP("00-00180992",'Выгрузка из 1С'!$B$4:$K$2000,10,FALSE)</f>
        <v>22284</v>
      </c>
      <c r="AO939" s="328"/>
      <c r="AP939" s="328"/>
      <c r="AQ939" s="328"/>
      <c r="AR939" s="328"/>
      <c r="AS939" s="328"/>
      <c r="AT939" s="25"/>
      <c r="AU939" s="25"/>
      <c r="AV939" s="25"/>
      <c r="AW939" s="25"/>
      <c r="AX939" s="25"/>
    </row>
    <row r="940" spans="1:50" s="35" customFormat="1" ht="13.5" customHeight="1" x14ac:dyDescent="0.25">
      <c r="A940" s="25"/>
      <c r="B940" s="25"/>
      <c r="C940" s="331" t="s">
        <v>1198</v>
      </c>
      <c r="D940" s="331"/>
      <c r="E940" s="331"/>
      <c r="F940" s="331"/>
      <c r="G940" s="331"/>
      <c r="H940" s="330" t="s">
        <v>1256</v>
      </c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  <c r="AA940" s="330"/>
      <c r="AB940" s="330" t="s">
        <v>1268</v>
      </c>
      <c r="AC940" s="330"/>
      <c r="AD940" s="330"/>
      <c r="AE940" s="330"/>
      <c r="AF940" s="330"/>
      <c r="AG940" s="330"/>
      <c r="AH940" s="330" t="s">
        <v>1272</v>
      </c>
      <c r="AI940" s="330"/>
      <c r="AJ940" s="330"/>
      <c r="AK940" s="330"/>
      <c r="AL940" s="330"/>
      <c r="AM940" s="330"/>
      <c r="AN940" s="328">
        <f>VLOOKUP("УТ-00096873",'Выгрузка из 1С'!$B$4:$K$2000,10,FALSE)</f>
        <v>13366</v>
      </c>
      <c r="AO940" s="328"/>
      <c r="AP940" s="328"/>
      <c r="AQ940" s="328"/>
      <c r="AR940" s="328"/>
      <c r="AS940" s="328"/>
      <c r="AT940" s="25"/>
      <c r="AU940" s="25"/>
      <c r="AV940" s="25"/>
      <c r="AW940" s="25"/>
      <c r="AX940" s="25"/>
    </row>
    <row r="941" spans="1:50" s="35" customFormat="1" ht="13.5" customHeight="1" x14ac:dyDescent="0.25">
      <c r="A941" s="25"/>
      <c r="B941" s="25"/>
      <c r="C941" s="331" t="s">
        <v>1199</v>
      </c>
      <c r="D941" s="331"/>
      <c r="E941" s="331"/>
      <c r="F941" s="331"/>
      <c r="G941" s="331"/>
      <c r="H941" s="330" t="s">
        <v>1257</v>
      </c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  <c r="AA941" s="330"/>
      <c r="AB941" s="330" t="s">
        <v>1268</v>
      </c>
      <c r="AC941" s="330"/>
      <c r="AD941" s="330"/>
      <c r="AE941" s="330"/>
      <c r="AF941" s="330"/>
      <c r="AG941" s="330"/>
      <c r="AH941" s="330" t="s">
        <v>1272</v>
      </c>
      <c r="AI941" s="330"/>
      <c r="AJ941" s="330"/>
      <c r="AK941" s="330"/>
      <c r="AL941" s="330"/>
      <c r="AM941" s="330"/>
      <c r="AN941" s="328">
        <f>VLOOKUP("УТ-00042455",'Выгрузка из 1С'!$B$4:$K$2000,10,FALSE)</f>
        <v>14366</v>
      </c>
      <c r="AO941" s="328"/>
      <c r="AP941" s="328"/>
      <c r="AQ941" s="328"/>
      <c r="AR941" s="328"/>
      <c r="AS941" s="328"/>
      <c r="AT941" s="25"/>
      <c r="AU941" s="25"/>
      <c r="AV941" s="25"/>
      <c r="AW941" s="25"/>
      <c r="AX941" s="25"/>
    </row>
    <row r="942" spans="1:50" s="35" customFormat="1" ht="13.5" customHeight="1" x14ac:dyDescent="0.25">
      <c r="A942" s="25"/>
      <c r="B942" s="25"/>
      <c r="C942" s="331" t="s">
        <v>1200</v>
      </c>
      <c r="D942" s="331"/>
      <c r="E942" s="331"/>
      <c r="F942" s="331"/>
      <c r="G942" s="331"/>
      <c r="H942" s="330" t="s">
        <v>1258</v>
      </c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  <c r="AA942" s="330"/>
      <c r="AB942" s="330" t="s">
        <v>1268</v>
      </c>
      <c r="AC942" s="330"/>
      <c r="AD942" s="330"/>
      <c r="AE942" s="330"/>
      <c r="AF942" s="330"/>
      <c r="AG942" s="330"/>
      <c r="AH942" s="330" t="s">
        <v>1272</v>
      </c>
      <c r="AI942" s="330"/>
      <c r="AJ942" s="330"/>
      <c r="AK942" s="330"/>
      <c r="AL942" s="330"/>
      <c r="AM942" s="330"/>
      <c r="AN942" s="328">
        <f>VLOOKUP("00-00180990",'Выгрузка из 1С'!$B$4:$K$2000,10,FALSE)</f>
        <v>9501</v>
      </c>
      <c r="AO942" s="328"/>
      <c r="AP942" s="328"/>
      <c r="AQ942" s="328"/>
      <c r="AR942" s="328"/>
      <c r="AS942" s="328"/>
      <c r="AT942" s="25"/>
      <c r="AU942" s="25"/>
      <c r="AV942" s="25"/>
      <c r="AW942" s="25"/>
      <c r="AX942" s="25"/>
    </row>
    <row r="943" spans="1:50" s="35" customFormat="1" ht="13.5" customHeight="1" x14ac:dyDescent="0.25">
      <c r="A943" s="25"/>
      <c r="B943" s="25"/>
      <c r="C943" s="331" t="s">
        <v>1201</v>
      </c>
      <c r="D943" s="331"/>
      <c r="E943" s="331"/>
      <c r="F943" s="331"/>
      <c r="G943" s="331"/>
      <c r="H943" s="330" t="s">
        <v>1259</v>
      </c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  <c r="AA943" s="330"/>
      <c r="AB943" s="330" t="s">
        <v>1268</v>
      </c>
      <c r="AC943" s="330"/>
      <c r="AD943" s="330"/>
      <c r="AE943" s="330"/>
      <c r="AF943" s="330"/>
      <c r="AG943" s="330"/>
      <c r="AH943" s="330" t="s">
        <v>1272</v>
      </c>
      <c r="AI943" s="330"/>
      <c r="AJ943" s="330"/>
      <c r="AK943" s="330"/>
      <c r="AL943" s="330"/>
      <c r="AM943" s="330"/>
      <c r="AN943" s="328">
        <f>VLOOKUP("00-00196024",'Выгрузка из 1С'!$B$4:$K$2000,10,FALSE)</f>
        <v>10354</v>
      </c>
      <c r="AO943" s="328"/>
      <c r="AP943" s="328"/>
      <c r="AQ943" s="328"/>
      <c r="AR943" s="328"/>
      <c r="AS943" s="328"/>
      <c r="AT943" s="25"/>
      <c r="AU943" s="25"/>
      <c r="AV943" s="25"/>
      <c r="AW943" s="25"/>
      <c r="AX943" s="25"/>
    </row>
    <row r="944" spans="1:50" s="35" customFormat="1" ht="13.5" customHeight="1" x14ac:dyDescent="0.25">
      <c r="A944" s="25"/>
      <c r="B944" s="25"/>
      <c r="C944" s="331" t="s">
        <v>1202</v>
      </c>
      <c r="D944" s="331"/>
      <c r="E944" s="331"/>
      <c r="F944" s="331"/>
      <c r="G944" s="331"/>
      <c r="H944" s="330" t="s">
        <v>1260</v>
      </c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  <c r="AA944" s="330"/>
      <c r="AB944" s="330" t="s">
        <v>1268</v>
      </c>
      <c r="AC944" s="330"/>
      <c r="AD944" s="330"/>
      <c r="AE944" s="330"/>
      <c r="AF944" s="330"/>
      <c r="AG944" s="330"/>
      <c r="AH944" s="330" t="s">
        <v>1272</v>
      </c>
      <c r="AI944" s="330"/>
      <c r="AJ944" s="330"/>
      <c r="AK944" s="330"/>
      <c r="AL944" s="330"/>
      <c r="AM944" s="330"/>
      <c r="AN944" s="328">
        <f>VLOOKUP("00-00196057",'Выгрузка из 1С'!$B$4:$K$2000,10,FALSE)</f>
        <v>17367</v>
      </c>
      <c r="AO944" s="328"/>
      <c r="AP944" s="328"/>
      <c r="AQ944" s="328"/>
      <c r="AR944" s="328"/>
      <c r="AS944" s="328"/>
      <c r="AT944" s="25"/>
      <c r="AU944" s="25"/>
      <c r="AV944" s="25"/>
      <c r="AW944" s="25"/>
      <c r="AX944" s="25"/>
    </row>
    <row r="945" spans="1:50" s="35" customFormat="1" ht="13.5" customHeight="1" x14ac:dyDescent="0.25">
      <c r="A945" s="25"/>
      <c r="B945" s="25"/>
      <c r="C945" s="331" t="s">
        <v>1203</v>
      </c>
      <c r="D945" s="331"/>
      <c r="E945" s="331"/>
      <c r="F945" s="331"/>
      <c r="G945" s="331"/>
      <c r="H945" s="330" t="s">
        <v>1261</v>
      </c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  <c r="AA945" s="330"/>
      <c r="AB945" s="330" t="s">
        <v>1268</v>
      </c>
      <c r="AC945" s="330"/>
      <c r="AD945" s="330"/>
      <c r="AE945" s="330"/>
      <c r="AF945" s="330"/>
      <c r="AG945" s="330"/>
      <c r="AH945" s="330" t="s">
        <v>1272</v>
      </c>
      <c r="AI945" s="330"/>
      <c r="AJ945" s="330"/>
      <c r="AK945" s="330"/>
      <c r="AL945" s="330"/>
      <c r="AM945" s="330"/>
      <c r="AN945" s="328">
        <f>VLOOKUP("00-00180989",'Выгрузка из 1С'!$B$4:$K$2000,10,FALSE)</f>
        <v>9026</v>
      </c>
      <c r="AO945" s="328"/>
      <c r="AP945" s="328"/>
      <c r="AQ945" s="328"/>
      <c r="AR945" s="328"/>
      <c r="AS945" s="328"/>
      <c r="AT945" s="25"/>
      <c r="AU945" s="25"/>
      <c r="AV945" s="25"/>
      <c r="AW945" s="25"/>
      <c r="AX945" s="25"/>
    </row>
    <row r="946" spans="1:50" s="35" customFormat="1" ht="13.5" customHeight="1" x14ac:dyDescent="0.25">
      <c r="A946" s="25"/>
      <c r="B946" s="25"/>
      <c r="C946" s="331" t="s">
        <v>1204</v>
      </c>
      <c r="D946" s="331"/>
      <c r="E946" s="331"/>
      <c r="F946" s="331"/>
      <c r="G946" s="331"/>
      <c r="H946" s="330" t="s">
        <v>1262</v>
      </c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  <c r="AA946" s="330"/>
      <c r="AB946" s="330" t="s">
        <v>1268</v>
      </c>
      <c r="AC946" s="330"/>
      <c r="AD946" s="330"/>
      <c r="AE946" s="330"/>
      <c r="AF946" s="330"/>
      <c r="AG946" s="330"/>
      <c r="AH946" s="330" t="s">
        <v>1273</v>
      </c>
      <c r="AI946" s="330"/>
      <c r="AJ946" s="330"/>
      <c r="AK946" s="330"/>
      <c r="AL946" s="330"/>
      <c r="AM946" s="330"/>
      <c r="AN946" s="328">
        <f>VLOOKUP("00-00180985",'Выгрузка из 1С'!$B$4:$K$2000,10,FALSE)</f>
        <v>9568</v>
      </c>
      <c r="AO946" s="328"/>
      <c r="AP946" s="328"/>
      <c r="AQ946" s="328"/>
      <c r="AR946" s="328"/>
      <c r="AS946" s="328"/>
      <c r="AT946" s="25"/>
      <c r="AU946" s="25"/>
      <c r="AV946" s="25"/>
      <c r="AW946" s="25"/>
      <c r="AX946" s="25"/>
    </row>
    <row r="947" spans="1:50" s="35" customFormat="1" ht="13.5" customHeight="1" x14ac:dyDescent="0.25">
      <c r="A947" s="25"/>
      <c r="B947" s="25"/>
      <c r="C947" s="331" t="s">
        <v>1205</v>
      </c>
      <c r="D947" s="331"/>
      <c r="E947" s="331"/>
      <c r="F947" s="331"/>
      <c r="G947" s="331"/>
      <c r="H947" s="330" t="s">
        <v>1263</v>
      </c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  <c r="AA947" s="330"/>
      <c r="AB947" s="330" t="s">
        <v>1268</v>
      </c>
      <c r="AC947" s="330"/>
      <c r="AD947" s="330"/>
      <c r="AE947" s="330"/>
      <c r="AF947" s="330"/>
      <c r="AG947" s="330"/>
      <c r="AH947" s="330" t="s">
        <v>1273</v>
      </c>
      <c r="AI947" s="330"/>
      <c r="AJ947" s="330"/>
      <c r="AK947" s="330"/>
      <c r="AL947" s="330"/>
      <c r="AM947" s="330"/>
      <c r="AN947" s="328">
        <f>VLOOKUP("00-00180986",'Выгрузка из 1С'!$B$4:$K$2000,10,FALSE)</f>
        <v>10421</v>
      </c>
      <c r="AO947" s="328"/>
      <c r="AP947" s="328"/>
      <c r="AQ947" s="328"/>
      <c r="AR947" s="328"/>
      <c r="AS947" s="328"/>
      <c r="AT947" s="25"/>
      <c r="AU947" s="25"/>
      <c r="AV947" s="25"/>
      <c r="AW947" s="25"/>
      <c r="AX947" s="25"/>
    </row>
    <row r="948" spans="1:50" s="35" customFormat="1" ht="13.5" customHeight="1" x14ac:dyDescent="0.25">
      <c r="A948" s="25"/>
      <c r="B948" s="25"/>
      <c r="C948" s="331" t="s">
        <v>1206</v>
      </c>
      <c r="D948" s="331"/>
      <c r="E948" s="331"/>
      <c r="F948" s="331"/>
      <c r="G948" s="331"/>
      <c r="H948" s="330" t="s">
        <v>1264</v>
      </c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  <c r="AA948" s="330"/>
      <c r="AB948" s="330" t="s">
        <v>1268</v>
      </c>
      <c r="AC948" s="330"/>
      <c r="AD948" s="330"/>
      <c r="AE948" s="330"/>
      <c r="AF948" s="330"/>
      <c r="AG948" s="330"/>
      <c r="AH948" s="330" t="s">
        <v>1273</v>
      </c>
      <c r="AI948" s="330"/>
      <c r="AJ948" s="330"/>
      <c r="AK948" s="330"/>
      <c r="AL948" s="330"/>
      <c r="AM948" s="330"/>
      <c r="AN948" s="328">
        <f>VLOOKUP("00-00180979",'Выгрузка из 1С'!$B$4:$K$2000,10,FALSE)</f>
        <v>8664</v>
      </c>
      <c r="AO948" s="328"/>
      <c r="AP948" s="328"/>
      <c r="AQ948" s="328"/>
      <c r="AR948" s="328"/>
      <c r="AS948" s="328"/>
      <c r="AT948" s="25"/>
      <c r="AU948" s="25"/>
      <c r="AV948" s="25"/>
      <c r="AW948" s="25"/>
      <c r="AX948" s="25"/>
    </row>
    <row r="949" spans="1:50" s="35" customFormat="1" ht="13.5" customHeight="1" x14ac:dyDescent="0.25">
      <c r="A949" s="25"/>
      <c r="B949" s="25"/>
      <c r="C949" s="331" t="s">
        <v>1207</v>
      </c>
      <c r="D949" s="331"/>
      <c r="E949" s="331"/>
      <c r="F949" s="331"/>
      <c r="G949" s="331"/>
      <c r="H949" s="330" t="s">
        <v>1265</v>
      </c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  <c r="AA949" s="330"/>
      <c r="AB949" s="330" t="s">
        <v>1268</v>
      </c>
      <c r="AC949" s="330"/>
      <c r="AD949" s="330"/>
      <c r="AE949" s="330"/>
      <c r="AF949" s="330"/>
      <c r="AG949" s="330"/>
      <c r="AH949" s="330" t="s">
        <v>1273</v>
      </c>
      <c r="AI949" s="330"/>
      <c r="AJ949" s="330"/>
      <c r="AK949" s="330"/>
      <c r="AL949" s="330"/>
      <c r="AM949" s="330"/>
      <c r="AN949" s="328">
        <f>VLOOKUP("00-00180980",'Выгрузка из 1С'!$B$4:$K$2000,10,FALSE)</f>
        <v>9518</v>
      </c>
      <c r="AO949" s="328"/>
      <c r="AP949" s="328"/>
      <c r="AQ949" s="328"/>
      <c r="AR949" s="328"/>
      <c r="AS949" s="328"/>
      <c r="AT949" s="25"/>
      <c r="AU949" s="25"/>
      <c r="AV949" s="25"/>
      <c r="AW949" s="25"/>
      <c r="AX949" s="25"/>
    </row>
    <row r="950" spans="1:50" s="35" customFormat="1" ht="13.5" customHeight="1" x14ac:dyDescent="0.25">
      <c r="A950" s="25"/>
      <c r="B950" s="25"/>
      <c r="C950" s="331" t="s">
        <v>1274</v>
      </c>
      <c r="D950" s="331"/>
      <c r="E950" s="331"/>
      <c r="F950" s="331"/>
      <c r="G950" s="331"/>
      <c r="H950" s="330" t="s">
        <v>1294</v>
      </c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  <c r="AA950" s="330"/>
      <c r="AB950" s="330" t="s">
        <v>1268</v>
      </c>
      <c r="AC950" s="330"/>
      <c r="AD950" s="330"/>
      <c r="AE950" s="330"/>
      <c r="AF950" s="330"/>
      <c r="AG950" s="330"/>
      <c r="AH950" s="330" t="s">
        <v>1315</v>
      </c>
      <c r="AI950" s="330"/>
      <c r="AJ950" s="330"/>
      <c r="AK950" s="330"/>
      <c r="AL950" s="330"/>
      <c r="AM950" s="330"/>
      <c r="AN950" s="328">
        <f>VLOOKUP("00-00180987",'Выгрузка из 1С'!$B$4:$K$2000,10,FALSE)</f>
        <v>16855</v>
      </c>
      <c r="AO950" s="328"/>
      <c r="AP950" s="328"/>
      <c r="AQ950" s="328"/>
      <c r="AR950" s="328"/>
      <c r="AS950" s="328"/>
      <c r="AT950" s="25"/>
      <c r="AU950" s="25"/>
      <c r="AV950" s="25"/>
      <c r="AW950" s="25"/>
      <c r="AX950" s="25"/>
    </row>
    <row r="951" spans="1:50" s="35" customFormat="1" ht="13.5" customHeight="1" x14ac:dyDescent="0.25">
      <c r="A951" s="25"/>
      <c r="B951" s="25"/>
      <c r="C951" s="331" t="s">
        <v>1275</v>
      </c>
      <c r="D951" s="331"/>
      <c r="E951" s="331"/>
      <c r="F951" s="331"/>
      <c r="G951" s="331"/>
      <c r="H951" s="330" t="s">
        <v>1295</v>
      </c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  <c r="AA951" s="330"/>
      <c r="AB951" s="330" t="s">
        <v>1268</v>
      </c>
      <c r="AC951" s="330"/>
      <c r="AD951" s="330"/>
      <c r="AE951" s="330"/>
      <c r="AF951" s="330"/>
      <c r="AG951" s="330"/>
      <c r="AH951" s="330" t="s">
        <v>1315</v>
      </c>
      <c r="AI951" s="330"/>
      <c r="AJ951" s="330"/>
      <c r="AK951" s="330"/>
      <c r="AL951" s="330"/>
      <c r="AM951" s="330"/>
      <c r="AN951" s="328">
        <f>VLOOKUP("00-00180988",'Выгрузка из 1С'!$B$4:$K$2000,10,FALSE)</f>
        <v>17855</v>
      </c>
      <c r="AO951" s="328"/>
      <c r="AP951" s="328"/>
      <c r="AQ951" s="328"/>
      <c r="AR951" s="328"/>
      <c r="AS951" s="328"/>
      <c r="AT951" s="25"/>
      <c r="AU951" s="25"/>
      <c r="AV951" s="25"/>
      <c r="AW951" s="25"/>
      <c r="AX951" s="25"/>
    </row>
    <row r="952" spans="1:50" s="35" customFormat="1" ht="13.5" customHeight="1" x14ac:dyDescent="0.25">
      <c r="A952" s="25"/>
      <c r="B952" s="25"/>
      <c r="C952" s="331" t="s">
        <v>1276</v>
      </c>
      <c r="D952" s="331"/>
      <c r="E952" s="331"/>
      <c r="F952" s="331"/>
      <c r="G952" s="331"/>
      <c r="H952" s="330" t="s">
        <v>1296</v>
      </c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  <c r="AA952" s="330"/>
      <c r="AB952" s="330" t="s">
        <v>1268</v>
      </c>
      <c r="AC952" s="330"/>
      <c r="AD952" s="330"/>
      <c r="AE952" s="330"/>
      <c r="AF952" s="330"/>
      <c r="AG952" s="330"/>
      <c r="AH952" s="330" t="s">
        <v>1315</v>
      </c>
      <c r="AI952" s="330"/>
      <c r="AJ952" s="330"/>
      <c r="AK952" s="330"/>
      <c r="AL952" s="330"/>
      <c r="AM952" s="330"/>
      <c r="AN952" s="328">
        <f>VLOOKUP("00-00196059",'Выгрузка из 1С'!$B$4:$K$2000,10,FALSE)</f>
        <v>21338</v>
      </c>
      <c r="AO952" s="328"/>
      <c r="AP952" s="328"/>
      <c r="AQ952" s="328"/>
      <c r="AR952" s="328"/>
      <c r="AS952" s="328"/>
      <c r="AT952" s="25"/>
      <c r="AU952" s="25"/>
      <c r="AV952" s="25"/>
      <c r="AW952" s="25"/>
      <c r="AX952" s="25"/>
    </row>
    <row r="953" spans="1:50" s="35" customFormat="1" ht="13.5" customHeight="1" x14ac:dyDescent="0.25">
      <c r="A953" s="25"/>
      <c r="B953" s="25"/>
      <c r="C953" s="331" t="s">
        <v>1277</v>
      </c>
      <c r="D953" s="331"/>
      <c r="E953" s="331"/>
      <c r="F953" s="331"/>
      <c r="G953" s="331"/>
      <c r="H953" s="330" t="s">
        <v>1297</v>
      </c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  <c r="AA953" s="330"/>
      <c r="AB953" s="330" t="s">
        <v>1268</v>
      </c>
      <c r="AC953" s="330"/>
      <c r="AD953" s="330"/>
      <c r="AE953" s="330"/>
      <c r="AF953" s="330"/>
      <c r="AG953" s="330"/>
      <c r="AH953" s="330" t="s">
        <v>1315</v>
      </c>
      <c r="AI953" s="330"/>
      <c r="AJ953" s="330"/>
      <c r="AK953" s="330"/>
      <c r="AL953" s="330"/>
      <c r="AM953" s="330"/>
      <c r="AN953" s="328">
        <f>VLOOKUP("00-00180981",'Выгрузка из 1С'!$B$4:$K$2000,10,FALSE)</f>
        <v>16943</v>
      </c>
      <c r="AO953" s="328"/>
      <c r="AP953" s="328"/>
      <c r="AQ953" s="328"/>
      <c r="AR953" s="328"/>
      <c r="AS953" s="328"/>
      <c r="AT953" s="25"/>
      <c r="AU953" s="25"/>
      <c r="AV953" s="25"/>
      <c r="AW953" s="25"/>
      <c r="AX953" s="25"/>
    </row>
    <row r="954" spans="1:50" s="35" customFormat="1" ht="13.5" customHeight="1" x14ac:dyDescent="0.25">
      <c r="A954" s="25"/>
      <c r="B954" s="25"/>
      <c r="C954" s="331" t="s">
        <v>1278</v>
      </c>
      <c r="D954" s="331"/>
      <c r="E954" s="331"/>
      <c r="F954" s="331"/>
      <c r="G954" s="331"/>
      <c r="H954" s="330" t="s">
        <v>1298</v>
      </c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  <c r="AA954" s="330"/>
      <c r="AB954" s="330" t="s">
        <v>1268</v>
      </c>
      <c r="AC954" s="330"/>
      <c r="AD954" s="330"/>
      <c r="AE954" s="330"/>
      <c r="AF954" s="330"/>
      <c r="AG954" s="330"/>
      <c r="AH954" s="330" t="s">
        <v>1315</v>
      </c>
      <c r="AI954" s="330"/>
      <c r="AJ954" s="330"/>
      <c r="AK954" s="330"/>
      <c r="AL954" s="330"/>
      <c r="AM954" s="330"/>
      <c r="AN954" s="328">
        <f>VLOOKUP("00-00180982",'Выгрузка из 1С'!$B$4:$K$2000,10,FALSE)</f>
        <v>17945</v>
      </c>
      <c r="AO954" s="328"/>
      <c r="AP954" s="328"/>
      <c r="AQ954" s="328"/>
      <c r="AR954" s="328"/>
      <c r="AS954" s="328"/>
      <c r="AT954" s="25"/>
      <c r="AU954" s="25"/>
      <c r="AV954" s="25"/>
      <c r="AW954" s="25"/>
      <c r="AX954" s="25"/>
    </row>
    <row r="955" spans="1:50" s="35" customFormat="1" ht="13.5" customHeight="1" x14ac:dyDescent="0.25">
      <c r="A955" s="25"/>
      <c r="B955" s="25"/>
      <c r="C955" s="331" t="s">
        <v>1279</v>
      </c>
      <c r="D955" s="331"/>
      <c r="E955" s="331"/>
      <c r="F955" s="331"/>
      <c r="G955" s="331"/>
      <c r="H955" s="330" t="s">
        <v>1299</v>
      </c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  <c r="AA955" s="330"/>
      <c r="AB955" s="330" t="s">
        <v>1268</v>
      </c>
      <c r="AC955" s="330"/>
      <c r="AD955" s="330"/>
      <c r="AE955" s="330"/>
      <c r="AF955" s="330"/>
      <c r="AG955" s="330"/>
      <c r="AH955" s="330" t="s">
        <v>1315</v>
      </c>
      <c r="AI955" s="330"/>
      <c r="AJ955" s="330"/>
      <c r="AK955" s="330"/>
      <c r="AL955" s="330"/>
      <c r="AM955" s="330"/>
      <c r="AN955" s="328">
        <f>VLOOKUP("00-00180984",'Выгрузка из 1С'!$B$4:$K$2000,10,FALSE)</f>
        <v>28938</v>
      </c>
      <c r="AO955" s="328"/>
      <c r="AP955" s="328"/>
      <c r="AQ955" s="328"/>
      <c r="AR955" s="328"/>
      <c r="AS955" s="328"/>
      <c r="AT955" s="25"/>
      <c r="AU955" s="25"/>
      <c r="AV955" s="25"/>
      <c r="AW955" s="25"/>
      <c r="AX955" s="25"/>
    </row>
    <row r="956" spans="1:50" s="35" customFormat="1" ht="13.5" customHeight="1" x14ac:dyDescent="0.25">
      <c r="A956" s="25"/>
      <c r="B956" s="25"/>
      <c r="C956" s="331" t="s">
        <v>1280</v>
      </c>
      <c r="D956" s="331"/>
      <c r="E956" s="331"/>
      <c r="F956" s="331"/>
      <c r="G956" s="331"/>
      <c r="H956" s="330" t="s">
        <v>1300</v>
      </c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  <c r="AA956" s="330"/>
      <c r="AB956" s="330" t="s">
        <v>1268</v>
      </c>
      <c r="AC956" s="330"/>
      <c r="AD956" s="330"/>
      <c r="AE956" s="330"/>
      <c r="AF956" s="330"/>
      <c r="AG956" s="330"/>
      <c r="AH956" s="330" t="s">
        <v>1315</v>
      </c>
      <c r="AI956" s="330"/>
      <c r="AJ956" s="330"/>
      <c r="AK956" s="330"/>
      <c r="AL956" s="330"/>
      <c r="AM956" s="330"/>
      <c r="AN956" s="328">
        <f>VLOOKUP("00-00196061",'Выгрузка из 1С'!$B$4:$K$2000,10,FALSE)</f>
        <v>20359</v>
      </c>
      <c r="AO956" s="328"/>
      <c r="AP956" s="328"/>
      <c r="AQ956" s="328"/>
      <c r="AR956" s="328"/>
      <c r="AS956" s="328"/>
      <c r="AT956" s="25"/>
      <c r="AU956" s="25"/>
      <c r="AV956" s="25"/>
      <c r="AW956" s="25"/>
      <c r="AX956" s="25"/>
    </row>
    <row r="957" spans="1:50" s="35" customFormat="1" ht="13.5" customHeight="1" x14ac:dyDescent="0.25">
      <c r="A957" s="25"/>
      <c r="B957" s="25"/>
      <c r="C957" s="331" t="s">
        <v>1281</v>
      </c>
      <c r="D957" s="331"/>
      <c r="E957" s="331"/>
      <c r="F957" s="331"/>
      <c r="G957" s="331"/>
      <c r="H957" s="330" t="s">
        <v>1301</v>
      </c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  <c r="AA957" s="330"/>
      <c r="AB957" s="330" t="s">
        <v>1268</v>
      </c>
      <c r="AC957" s="330"/>
      <c r="AD957" s="330"/>
      <c r="AE957" s="330"/>
      <c r="AF957" s="330"/>
      <c r="AG957" s="330"/>
      <c r="AH957" s="330" t="s">
        <v>1315</v>
      </c>
      <c r="AI957" s="330"/>
      <c r="AJ957" s="330"/>
      <c r="AK957" s="330"/>
      <c r="AL957" s="330"/>
      <c r="AM957" s="330"/>
      <c r="AN957" s="328">
        <f>VLOOKUP("00-00196062",'Выгрузка из 1С'!$B$4:$K$2000,10,FALSE)</f>
        <v>32979</v>
      </c>
      <c r="AO957" s="328"/>
      <c r="AP957" s="328"/>
      <c r="AQ957" s="328"/>
      <c r="AR957" s="328"/>
      <c r="AS957" s="328"/>
      <c r="AT957" s="25"/>
      <c r="AU957" s="25"/>
      <c r="AV957" s="25"/>
      <c r="AW957" s="25"/>
      <c r="AX957" s="25"/>
    </row>
    <row r="958" spans="1:50" s="35" customFormat="1" ht="13.5" customHeight="1" x14ac:dyDescent="0.25">
      <c r="A958" s="25"/>
      <c r="B958" s="25"/>
      <c r="C958" s="331" t="s">
        <v>1282</v>
      </c>
      <c r="D958" s="331"/>
      <c r="E958" s="331"/>
      <c r="F958" s="331"/>
      <c r="G958" s="331"/>
      <c r="H958" s="330" t="s">
        <v>1302</v>
      </c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  <c r="AA958" s="330"/>
      <c r="AB958" s="330" t="s">
        <v>1314</v>
      </c>
      <c r="AC958" s="330"/>
      <c r="AD958" s="330"/>
      <c r="AE958" s="330"/>
      <c r="AF958" s="330"/>
      <c r="AG958" s="330"/>
      <c r="AH958" s="330" t="s">
        <v>1272</v>
      </c>
      <c r="AI958" s="330"/>
      <c r="AJ958" s="330"/>
      <c r="AK958" s="330"/>
      <c r="AL958" s="330"/>
      <c r="AM958" s="330"/>
      <c r="AN958" s="328">
        <f>VLOOKUP("00-00180797",'Выгрузка из 1С'!$B$4:$K$2000,10,FALSE)</f>
        <v>25443</v>
      </c>
      <c r="AO958" s="328"/>
      <c r="AP958" s="328"/>
      <c r="AQ958" s="328"/>
      <c r="AR958" s="328"/>
      <c r="AS958" s="328"/>
      <c r="AT958" s="25"/>
      <c r="AU958" s="25"/>
      <c r="AV958" s="25"/>
      <c r="AW958" s="25"/>
      <c r="AX958" s="25"/>
    </row>
    <row r="959" spans="1:50" s="35" customFormat="1" ht="13.5" customHeight="1" x14ac:dyDescent="0.25">
      <c r="A959" s="25"/>
      <c r="B959" s="25"/>
      <c r="C959" s="331" t="s">
        <v>1283</v>
      </c>
      <c r="D959" s="331"/>
      <c r="E959" s="331"/>
      <c r="F959" s="331"/>
      <c r="G959" s="331"/>
      <c r="H959" s="330" t="s">
        <v>1303</v>
      </c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  <c r="AA959" s="330"/>
      <c r="AB959" s="330" t="s">
        <v>1314</v>
      </c>
      <c r="AC959" s="330"/>
      <c r="AD959" s="330"/>
      <c r="AE959" s="330"/>
      <c r="AF959" s="330"/>
      <c r="AG959" s="330"/>
      <c r="AH959" s="330" t="s">
        <v>1272</v>
      </c>
      <c r="AI959" s="330"/>
      <c r="AJ959" s="330"/>
      <c r="AK959" s="330"/>
      <c r="AL959" s="330"/>
      <c r="AM959" s="330"/>
      <c r="AN959" s="328">
        <f>VLOOKUP("00-00180798",'Выгрузка из 1С'!$B$4:$K$2000,10,FALSE)</f>
        <v>26290</v>
      </c>
      <c r="AO959" s="328"/>
      <c r="AP959" s="328"/>
      <c r="AQ959" s="328"/>
      <c r="AR959" s="328"/>
      <c r="AS959" s="328"/>
      <c r="AT959" s="25"/>
      <c r="AU959" s="25"/>
      <c r="AV959" s="25"/>
      <c r="AW959" s="25"/>
      <c r="AX959" s="25"/>
    </row>
    <row r="960" spans="1:50" s="35" customFormat="1" ht="13.5" customHeight="1" x14ac:dyDescent="0.25">
      <c r="A960" s="25"/>
      <c r="B960" s="25"/>
      <c r="C960" s="331" t="s">
        <v>1284</v>
      </c>
      <c r="D960" s="331"/>
      <c r="E960" s="331"/>
      <c r="F960" s="331"/>
      <c r="G960" s="331"/>
      <c r="H960" s="330" t="s">
        <v>1304</v>
      </c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  <c r="AA960" s="330"/>
      <c r="AB960" s="330" t="s">
        <v>1314</v>
      </c>
      <c r="AC960" s="330"/>
      <c r="AD960" s="330"/>
      <c r="AE960" s="330"/>
      <c r="AF960" s="330"/>
      <c r="AG960" s="330"/>
      <c r="AH960" s="330" t="s">
        <v>1272</v>
      </c>
      <c r="AI960" s="330"/>
      <c r="AJ960" s="330"/>
      <c r="AK960" s="330"/>
      <c r="AL960" s="330"/>
      <c r="AM960" s="330"/>
      <c r="AN960" s="328">
        <f>VLOOKUP("УТ-00096937",'Выгрузка из 1С'!$B$4:$K$2000,10,FALSE)</f>
        <v>20000</v>
      </c>
      <c r="AO960" s="328"/>
      <c r="AP960" s="328"/>
      <c r="AQ960" s="328"/>
      <c r="AR960" s="328"/>
      <c r="AS960" s="328"/>
      <c r="AT960" s="25"/>
      <c r="AU960" s="25"/>
      <c r="AV960" s="25"/>
      <c r="AW960" s="25"/>
      <c r="AX960" s="25"/>
    </row>
    <row r="961" spans="1:50" s="35" customFormat="1" ht="13.5" customHeight="1" x14ac:dyDescent="0.25">
      <c r="A961" s="25"/>
      <c r="B961" s="25"/>
      <c r="C961" s="331" t="s">
        <v>1285</v>
      </c>
      <c r="D961" s="331"/>
      <c r="E961" s="331"/>
      <c r="F961" s="331"/>
      <c r="G961" s="331"/>
      <c r="H961" s="330" t="s">
        <v>1305</v>
      </c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  <c r="AA961" s="330"/>
      <c r="AB961" s="330" t="s">
        <v>1314</v>
      </c>
      <c r="AC961" s="330"/>
      <c r="AD961" s="330"/>
      <c r="AE961" s="330"/>
      <c r="AF961" s="330"/>
      <c r="AG961" s="330"/>
      <c r="AH961" s="330" t="s">
        <v>1272</v>
      </c>
      <c r="AI961" s="330"/>
      <c r="AJ961" s="330"/>
      <c r="AK961" s="330"/>
      <c r="AL961" s="330"/>
      <c r="AM961" s="330"/>
      <c r="AN961" s="328">
        <f>VLOOKUP("00-00180837",'Выгрузка из 1С'!$B$4:$K$2000,10,FALSE)</f>
        <v>21000</v>
      </c>
      <c r="AO961" s="328"/>
      <c r="AP961" s="328"/>
      <c r="AQ961" s="328"/>
      <c r="AR961" s="328"/>
      <c r="AS961" s="328"/>
      <c r="AT961" s="25"/>
      <c r="AU961" s="25"/>
      <c r="AV961" s="25"/>
      <c r="AW961" s="25"/>
      <c r="AX961" s="25"/>
    </row>
    <row r="962" spans="1:50" s="35" customFormat="1" ht="13.5" customHeight="1" x14ac:dyDescent="0.25">
      <c r="A962" s="25"/>
      <c r="B962" s="25"/>
      <c r="C962" s="331" t="s">
        <v>1286</v>
      </c>
      <c r="D962" s="331"/>
      <c r="E962" s="331"/>
      <c r="F962" s="331"/>
      <c r="G962" s="331"/>
      <c r="H962" s="330" t="s">
        <v>1306</v>
      </c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  <c r="AA962" s="330"/>
      <c r="AB962" s="330" t="s">
        <v>1314</v>
      </c>
      <c r="AC962" s="330"/>
      <c r="AD962" s="330"/>
      <c r="AE962" s="330"/>
      <c r="AF962" s="330"/>
      <c r="AG962" s="330"/>
      <c r="AH962" s="330" t="s">
        <v>1272</v>
      </c>
      <c r="AI962" s="330"/>
      <c r="AJ962" s="330"/>
      <c r="AK962" s="330"/>
      <c r="AL962" s="330"/>
      <c r="AM962" s="330"/>
      <c r="AN962" s="328">
        <f>VLOOKUP("00-00180840",'Выгрузка из 1С'!$B$4:$K$2000,10,FALSE)</f>
        <v>22978</v>
      </c>
      <c r="AO962" s="328"/>
      <c r="AP962" s="328"/>
      <c r="AQ962" s="328"/>
      <c r="AR962" s="328"/>
      <c r="AS962" s="328"/>
      <c r="AT962" s="25"/>
      <c r="AU962" s="25"/>
      <c r="AV962" s="25"/>
      <c r="AW962" s="25"/>
      <c r="AX962" s="25"/>
    </row>
    <row r="963" spans="1:50" s="35" customFormat="1" ht="13.5" customHeight="1" x14ac:dyDescent="0.25">
      <c r="A963" s="25"/>
      <c r="B963" s="25"/>
      <c r="C963" s="331" t="s">
        <v>1287</v>
      </c>
      <c r="D963" s="331"/>
      <c r="E963" s="331"/>
      <c r="F963" s="331"/>
      <c r="G963" s="331"/>
      <c r="H963" s="330" t="s">
        <v>1307</v>
      </c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  <c r="AA963" s="330"/>
      <c r="AB963" s="330" t="s">
        <v>1314</v>
      </c>
      <c r="AC963" s="330"/>
      <c r="AD963" s="330"/>
      <c r="AE963" s="330"/>
      <c r="AF963" s="330"/>
      <c r="AG963" s="330"/>
      <c r="AH963" s="330" t="s">
        <v>1272</v>
      </c>
      <c r="AI963" s="330"/>
      <c r="AJ963" s="330"/>
      <c r="AK963" s="330"/>
      <c r="AL963" s="330"/>
      <c r="AM963" s="330"/>
      <c r="AN963" s="328">
        <f>VLOOKUP("УТ-00096953",'Выгрузка из 1С'!$B$4:$K$2000,10,FALSE)</f>
        <v>23926</v>
      </c>
      <c r="AO963" s="328"/>
      <c r="AP963" s="328"/>
      <c r="AQ963" s="328"/>
      <c r="AR963" s="328"/>
      <c r="AS963" s="328"/>
      <c r="AT963" s="25"/>
      <c r="AU963" s="25"/>
      <c r="AV963" s="25"/>
      <c r="AW963" s="25"/>
      <c r="AX963" s="25"/>
    </row>
    <row r="964" spans="1:50" s="35" customFormat="1" ht="13.5" customHeight="1" x14ac:dyDescent="0.25">
      <c r="A964" s="25"/>
      <c r="B964" s="25"/>
      <c r="C964" s="331" t="s">
        <v>1288</v>
      </c>
      <c r="D964" s="331"/>
      <c r="E964" s="331"/>
      <c r="F964" s="331"/>
      <c r="G964" s="331"/>
      <c r="H964" s="330" t="s">
        <v>1308</v>
      </c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  <c r="AA964" s="330"/>
      <c r="AB964" s="330" t="s">
        <v>1314</v>
      </c>
      <c r="AC964" s="330"/>
      <c r="AD964" s="330"/>
      <c r="AE964" s="330"/>
      <c r="AF964" s="330"/>
      <c r="AG964" s="330"/>
      <c r="AH964" s="330" t="s">
        <v>1272</v>
      </c>
      <c r="AI964" s="330"/>
      <c r="AJ964" s="330"/>
      <c r="AK964" s="330"/>
      <c r="AL964" s="330"/>
      <c r="AM964" s="330"/>
      <c r="AN964" s="328">
        <f>VLOOKUP("00-00180839",'Выгрузка из 1С'!$B$4:$K$2000,10,FALSE)</f>
        <v>14215</v>
      </c>
      <c r="AO964" s="328"/>
      <c r="AP964" s="328"/>
      <c r="AQ964" s="328"/>
      <c r="AR964" s="328"/>
      <c r="AS964" s="328"/>
      <c r="AT964" s="25"/>
      <c r="AU964" s="25"/>
      <c r="AV964" s="25"/>
      <c r="AW964" s="25"/>
      <c r="AX964" s="25"/>
    </row>
    <row r="965" spans="1:50" s="35" customFormat="1" ht="13.5" customHeight="1" x14ac:dyDescent="0.25">
      <c r="A965" s="25"/>
      <c r="B965" s="25"/>
      <c r="C965" s="331" t="s">
        <v>1289</v>
      </c>
      <c r="D965" s="331"/>
      <c r="E965" s="331"/>
      <c r="F965" s="331"/>
      <c r="G965" s="331"/>
      <c r="H965" s="330" t="s">
        <v>1309</v>
      </c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  <c r="AA965" s="330"/>
      <c r="AB965" s="330" t="s">
        <v>1314</v>
      </c>
      <c r="AC965" s="330"/>
      <c r="AD965" s="330"/>
      <c r="AE965" s="330"/>
      <c r="AF965" s="330"/>
      <c r="AG965" s="330"/>
      <c r="AH965" s="330" t="s">
        <v>1272</v>
      </c>
      <c r="AI965" s="330"/>
      <c r="AJ965" s="330"/>
      <c r="AK965" s="330"/>
      <c r="AL965" s="330"/>
      <c r="AM965" s="330"/>
      <c r="AN965" s="328">
        <f>VLOOKUP("00-00196032",'Выгрузка из 1С'!$B$4:$K$2000,10,FALSE)</f>
        <v>15068</v>
      </c>
      <c r="AO965" s="328"/>
      <c r="AP965" s="328"/>
      <c r="AQ965" s="328"/>
      <c r="AR965" s="328"/>
      <c r="AS965" s="328"/>
      <c r="AT965" s="25"/>
      <c r="AU965" s="25"/>
      <c r="AV965" s="25"/>
      <c r="AW965" s="25"/>
      <c r="AX965" s="25"/>
    </row>
    <row r="966" spans="1:50" s="35" customFormat="1" ht="13.5" customHeight="1" x14ac:dyDescent="0.25">
      <c r="A966" s="25"/>
      <c r="B966" s="25"/>
      <c r="C966" s="331" t="s">
        <v>1290</v>
      </c>
      <c r="D966" s="331"/>
      <c r="E966" s="331"/>
      <c r="F966" s="331"/>
      <c r="G966" s="331"/>
      <c r="H966" s="330" t="s">
        <v>1310</v>
      </c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  <c r="AA966" s="330"/>
      <c r="AB966" s="330" t="s">
        <v>1314</v>
      </c>
      <c r="AC966" s="330"/>
      <c r="AD966" s="330"/>
      <c r="AE966" s="330"/>
      <c r="AF966" s="330"/>
      <c r="AG966" s="330"/>
      <c r="AH966" s="330" t="s">
        <v>1272</v>
      </c>
      <c r="AI966" s="330"/>
      <c r="AJ966" s="330"/>
      <c r="AK966" s="330"/>
      <c r="AL966" s="330"/>
      <c r="AM966" s="330"/>
      <c r="AN966" s="328">
        <f>VLOOKUP("00-00180838",'Выгрузка из 1С'!$B$4:$K$2000,10,FALSE)</f>
        <v>0</v>
      </c>
      <c r="AO966" s="328"/>
      <c r="AP966" s="328"/>
      <c r="AQ966" s="328"/>
      <c r="AR966" s="328"/>
      <c r="AS966" s="328"/>
      <c r="AT966" s="25"/>
      <c r="AU966" s="25"/>
      <c r="AV966" s="25"/>
      <c r="AW966" s="25"/>
      <c r="AX966" s="25"/>
    </row>
    <row r="967" spans="1:50" s="35" customFormat="1" ht="13.5" customHeight="1" x14ac:dyDescent="0.25">
      <c r="A967" s="25"/>
      <c r="B967" s="25"/>
      <c r="C967" s="331" t="s">
        <v>1291</v>
      </c>
      <c r="D967" s="331"/>
      <c r="E967" s="331"/>
      <c r="F967" s="331"/>
      <c r="G967" s="331"/>
      <c r="H967" s="330" t="s">
        <v>1311</v>
      </c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  <c r="AA967" s="330"/>
      <c r="AB967" s="330" t="s">
        <v>1314</v>
      </c>
      <c r="AC967" s="330"/>
      <c r="AD967" s="330"/>
      <c r="AE967" s="330"/>
      <c r="AF967" s="330"/>
      <c r="AG967" s="330"/>
      <c r="AH967" s="330" t="s">
        <v>1272</v>
      </c>
      <c r="AI967" s="330"/>
      <c r="AJ967" s="330"/>
      <c r="AK967" s="330"/>
      <c r="AL967" s="330"/>
      <c r="AM967" s="330"/>
      <c r="AN967" s="328">
        <f>VLOOKUP("00-00181691",'Выгрузка из 1С'!$B$4:$K$2000,10,FALSE)</f>
        <v>23771</v>
      </c>
      <c r="AO967" s="328"/>
      <c r="AP967" s="328"/>
      <c r="AQ967" s="328"/>
      <c r="AR967" s="328"/>
      <c r="AS967" s="328"/>
      <c r="AT967" s="25"/>
      <c r="AU967" s="25"/>
      <c r="AV967" s="25"/>
      <c r="AW967" s="25"/>
      <c r="AX967" s="25"/>
    </row>
    <row r="968" spans="1:50" s="35" customFormat="1" ht="13.5" customHeight="1" x14ac:dyDescent="0.25">
      <c r="A968" s="25"/>
      <c r="B968" s="25"/>
      <c r="C968" s="331" t="s">
        <v>1292</v>
      </c>
      <c r="D968" s="331"/>
      <c r="E968" s="331"/>
      <c r="F968" s="331"/>
      <c r="G968" s="331"/>
      <c r="H968" s="330" t="s">
        <v>1312</v>
      </c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  <c r="AA968" s="330"/>
      <c r="AB968" s="330" t="s">
        <v>1314</v>
      </c>
      <c r="AC968" s="330"/>
      <c r="AD968" s="330"/>
      <c r="AE968" s="330"/>
      <c r="AF968" s="330"/>
      <c r="AG968" s="330"/>
      <c r="AH968" s="330" t="s">
        <v>1272</v>
      </c>
      <c r="AI968" s="330"/>
      <c r="AJ968" s="330"/>
      <c r="AK968" s="330"/>
      <c r="AL968" s="330"/>
      <c r="AM968" s="330"/>
      <c r="AN968" s="328">
        <f>VLOOKUP("00-00196065",'Выгрузка из 1С'!$B$4:$K$2000,10,FALSE)</f>
        <v>24274</v>
      </c>
      <c r="AO968" s="328"/>
      <c r="AP968" s="328"/>
      <c r="AQ968" s="328"/>
      <c r="AR968" s="328"/>
      <c r="AS968" s="328"/>
      <c r="AT968" s="25"/>
      <c r="AU968" s="25"/>
      <c r="AV968" s="25"/>
      <c r="AW968" s="25"/>
      <c r="AX968" s="25"/>
    </row>
    <row r="969" spans="1:50" s="35" customFormat="1" ht="13.5" customHeight="1" x14ac:dyDescent="0.25">
      <c r="A969" s="25"/>
      <c r="B969" s="25"/>
      <c r="C969" s="331" t="s">
        <v>1293</v>
      </c>
      <c r="D969" s="331"/>
      <c r="E969" s="331"/>
      <c r="F969" s="331"/>
      <c r="G969" s="331"/>
      <c r="H969" s="330" t="s">
        <v>1313</v>
      </c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  <c r="AA969" s="330"/>
      <c r="AB969" s="330" t="s">
        <v>1314</v>
      </c>
      <c r="AC969" s="330"/>
      <c r="AD969" s="330"/>
      <c r="AE969" s="330"/>
      <c r="AF969" s="330"/>
      <c r="AG969" s="330"/>
      <c r="AH969" s="330" t="s">
        <v>1272</v>
      </c>
      <c r="AI969" s="330"/>
      <c r="AJ969" s="330"/>
      <c r="AK969" s="330"/>
      <c r="AL969" s="330"/>
      <c r="AM969" s="330"/>
      <c r="AN969" s="328">
        <f>VLOOKUP("00-00196034",'Выгрузка из 1С'!$B$4:$K$2000,10,FALSE)</f>
        <v>23428</v>
      </c>
      <c r="AO969" s="328"/>
      <c r="AP969" s="328"/>
      <c r="AQ969" s="328"/>
      <c r="AR969" s="328"/>
      <c r="AS969" s="328"/>
      <c r="AT969" s="25"/>
      <c r="AU969" s="25"/>
      <c r="AV969" s="25"/>
      <c r="AW969" s="25"/>
      <c r="AX969" s="25"/>
    </row>
    <row r="970" spans="1:50" s="35" customFormat="1" ht="15" customHeight="1" x14ac:dyDescent="0.2">
      <c r="A970" s="25"/>
      <c r="B970" s="25"/>
      <c r="C970" s="329" t="s">
        <v>1465</v>
      </c>
      <c r="D970" s="329"/>
      <c r="E970" s="329"/>
      <c r="F970" s="329"/>
      <c r="G970" s="329"/>
      <c r="H970" s="329"/>
      <c r="I970" s="329"/>
      <c r="J970" s="329"/>
      <c r="K970" s="329"/>
      <c r="L970" s="329"/>
      <c r="M970" s="329"/>
      <c r="N970" s="329"/>
      <c r="O970" s="329"/>
      <c r="P970" s="329"/>
      <c r="Q970" s="329"/>
      <c r="R970" s="329"/>
      <c r="S970" s="329"/>
      <c r="T970" s="329"/>
      <c r="U970" s="329"/>
      <c r="V970" s="329"/>
      <c r="W970" s="329"/>
      <c r="X970" s="329"/>
      <c r="Y970" s="329"/>
      <c r="Z970" s="329"/>
      <c r="AA970" s="329"/>
      <c r="AB970" s="329"/>
      <c r="AC970" s="329"/>
      <c r="AD970" s="329"/>
      <c r="AE970" s="329"/>
      <c r="AF970" s="329"/>
      <c r="AG970" s="329"/>
      <c r="AH970" s="329"/>
      <c r="AI970" s="329"/>
      <c r="AJ970" s="329"/>
      <c r="AK970" s="329"/>
      <c r="AL970" s="329"/>
      <c r="AM970" s="329"/>
      <c r="AN970" s="329"/>
      <c r="AO970" s="329"/>
      <c r="AP970" s="329"/>
      <c r="AQ970" s="329"/>
      <c r="AR970" s="329"/>
      <c r="AS970" s="329"/>
      <c r="AT970" s="25"/>
      <c r="AU970" s="25"/>
      <c r="AV970" s="25"/>
      <c r="AW970" s="25"/>
      <c r="AX970" s="25"/>
    </row>
    <row r="971" spans="1:50" s="35" customFormat="1" ht="15" customHeight="1" x14ac:dyDescent="0.25">
      <c r="A971" s="25"/>
      <c r="B971" s="25"/>
      <c r="C971" s="331" t="s">
        <v>1316</v>
      </c>
      <c r="D971" s="331"/>
      <c r="E971" s="331"/>
      <c r="F971" s="331"/>
      <c r="G971" s="331"/>
      <c r="H971" s="330" t="s">
        <v>1332</v>
      </c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  <c r="AA971" s="330"/>
      <c r="AB971" s="330" t="s">
        <v>1314</v>
      </c>
      <c r="AC971" s="330"/>
      <c r="AD971" s="330"/>
      <c r="AE971" s="330"/>
      <c r="AF971" s="330"/>
      <c r="AG971" s="330"/>
      <c r="AH971" s="330" t="s">
        <v>1351</v>
      </c>
      <c r="AI971" s="330"/>
      <c r="AJ971" s="330"/>
      <c r="AK971" s="330"/>
      <c r="AL971" s="330"/>
      <c r="AM971" s="330"/>
      <c r="AN971" s="328">
        <f>VLOOKUP("00-00180808",'Выгрузка из 1С'!$B$4:$K$2000,10,FALSE)</f>
        <v>81586</v>
      </c>
      <c r="AO971" s="328"/>
      <c r="AP971" s="328"/>
      <c r="AQ971" s="328"/>
      <c r="AR971" s="328"/>
      <c r="AS971" s="328"/>
      <c r="AT971" s="25"/>
      <c r="AU971" s="25"/>
      <c r="AV971" s="25"/>
      <c r="AW971" s="25"/>
      <c r="AX971" s="25"/>
    </row>
    <row r="972" spans="1:50" s="35" customFormat="1" ht="15" customHeight="1" x14ac:dyDescent="0.25">
      <c r="A972" s="25"/>
      <c r="B972" s="25"/>
      <c r="C972" s="331" t="s">
        <v>1317</v>
      </c>
      <c r="D972" s="331"/>
      <c r="E972" s="331"/>
      <c r="F972" s="331"/>
      <c r="G972" s="331"/>
      <c r="H972" s="330" t="s">
        <v>1333</v>
      </c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  <c r="AA972" s="330"/>
      <c r="AB972" s="330" t="s">
        <v>1314</v>
      </c>
      <c r="AC972" s="330"/>
      <c r="AD972" s="330"/>
      <c r="AE972" s="330"/>
      <c r="AF972" s="330"/>
      <c r="AG972" s="330"/>
      <c r="AH972" s="330" t="s">
        <v>1351</v>
      </c>
      <c r="AI972" s="330"/>
      <c r="AJ972" s="330"/>
      <c r="AK972" s="330"/>
      <c r="AL972" s="330"/>
      <c r="AM972" s="330"/>
      <c r="AN972" s="328">
        <f>VLOOKUP("УТ-00100005",'Выгрузка из 1С'!$B$4:$K$2000,10,FALSE)</f>
        <v>87570</v>
      </c>
      <c r="AO972" s="328"/>
      <c r="AP972" s="328"/>
      <c r="AQ972" s="328"/>
      <c r="AR972" s="328"/>
      <c r="AS972" s="328"/>
      <c r="AT972" s="25"/>
      <c r="AU972" s="25"/>
      <c r="AV972" s="25"/>
      <c r="AW972" s="25"/>
      <c r="AX972" s="25"/>
    </row>
    <row r="973" spans="1:50" s="35" customFormat="1" ht="15" customHeight="1" x14ac:dyDescent="0.25">
      <c r="A973" s="25"/>
      <c r="B973" s="25"/>
      <c r="C973" s="331" t="s">
        <v>1318</v>
      </c>
      <c r="D973" s="331"/>
      <c r="E973" s="331"/>
      <c r="F973" s="331"/>
      <c r="G973" s="331"/>
      <c r="H973" s="330" t="s">
        <v>1334</v>
      </c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  <c r="AA973" s="330"/>
      <c r="AB973" s="330" t="s">
        <v>1146</v>
      </c>
      <c r="AC973" s="330"/>
      <c r="AD973" s="330"/>
      <c r="AE973" s="330"/>
      <c r="AF973" s="330"/>
      <c r="AG973" s="330"/>
      <c r="AH973" s="330" t="s">
        <v>1352</v>
      </c>
      <c r="AI973" s="330"/>
      <c r="AJ973" s="330"/>
      <c r="AK973" s="330"/>
      <c r="AL973" s="330"/>
      <c r="AM973" s="330"/>
      <c r="AN973" s="328">
        <f>VLOOKUP("00-00180809",'Выгрузка из 1С'!$B$4:$K$2000,10,FALSE)</f>
        <v>134349</v>
      </c>
      <c r="AO973" s="328"/>
      <c r="AP973" s="328"/>
      <c r="AQ973" s="328"/>
      <c r="AR973" s="328"/>
      <c r="AS973" s="328"/>
      <c r="AT973" s="25"/>
      <c r="AU973" s="25"/>
      <c r="AV973" s="25"/>
      <c r="AW973" s="25"/>
      <c r="AX973" s="25"/>
    </row>
    <row r="974" spans="1:50" s="35" customFormat="1" ht="15" customHeight="1" x14ac:dyDescent="0.25">
      <c r="A974" s="25"/>
      <c r="B974" s="25"/>
      <c r="C974" s="331" t="s">
        <v>1319</v>
      </c>
      <c r="D974" s="331"/>
      <c r="E974" s="331"/>
      <c r="F974" s="331"/>
      <c r="G974" s="331"/>
      <c r="H974" s="330" t="s">
        <v>1335</v>
      </c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  <c r="AA974" s="330"/>
      <c r="AB974" s="330" t="s">
        <v>1146</v>
      </c>
      <c r="AC974" s="330"/>
      <c r="AD974" s="330"/>
      <c r="AE974" s="330"/>
      <c r="AF974" s="330"/>
      <c r="AG974" s="330"/>
      <c r="AH974" s="330" t="s">
        <v>1352</v>
      </c>
      <c r="AI974" s="330"/>
      <c r="AJ974" s="330"/>
      <c r="AK974" s="330"/>
      <c r="AL974" s="330"/>
      <c r="AM974" s="330"/>
      <c r="AN974" s="328">
        <f>VLOOKUP("00-00180810",'Выгрузка из 1С'!$B$4:$K$2000,10,FALSE)</f>
        <v>139960</v>
      </c>
      <c r="AO974" s="328"/>
      <c r="AP974" s="328"/>
      <c r="AQ974" s="328"/>
      <c r="AR974" s="328"/>
      <c r="AS974" s="328"/>
      <c r="AT974" s="25"/>
      <c r="AU974" s="25"/>
      <c r="AV974" s="25"/>
      <c r="AW974" s="25"/>
      <c r="AX974" s="25"/>
    </row>
    <row r="975" spans="1:50" s="35" customFormat="1" ht="15" customHeight="1" x14ac:dyDescent="0.25">
      <c r="A975" s="25"/>
      <c r="B975" s="25"/>
      <c r="C975" s="331" t="s">
        <v>1320</v>
      </c>
      <c r="D975" s="331"/>
      <c r="E975" s="331"/>
      <c r="F975" s="331"/>
      <c r="G975" s="331"/>
      <c r="H975" s="330" t="s">
        <v>1336</v>
      </c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  <c r="AA975" s="330"/>
      <c r="AB975" s="330" t="s">
        <v>1348</v>
      </c>
      <c r="AC975" s="330"/>
      <c r="AD975" s="330"/>
      <c r="AE975" s="330"/>
      <c r="AF975" s="330"/>
      <c r="AG975" s="330"/>
      <c r="AH975" s="330" t="s">
        <v>1352</v>
      </c>
      <c r="AI975" s="330"/>
      <c r="AJ975" s="330"/>
      <c r="AK975" s="330"/>
      <c r="AL975" s="330"/>
      <c r="AM975" s="330"/>
      <c r="AN975" s="328">
        <f>VLOOKUP("00-00180811",'Выгрузка из 1С'!$B$4:$K$2000,10,FALSE)</f>
        <v>148565</v>
      </c>
      <c r="AO975" s="328"/>
      <c r="AP975" s="328"/>
      <c r="AQ975" s="328"/>
      <c r="AR975" s="328"/>
      <c r="AS975" s="328"/>
      <c r="AT975" s="25"/>
      <c r="AU975" s="25"/>
      <c r="AV975" s="25"/>
      <c r="AW975" s="25"/>
      <c r="AX975" s="25"/>
    </row>
    <row r="976" spans="1:50" s="35" customFormat="1" ht="15" customHeight="1" x14ac:dyDescent="0.25">
      <c r="A976" s="25"/>
      <c r="B976" s="25"/>
      <c r="C976" s="331" t="s">
        <v>1321</v>
      </c>
      <c r="D976" s="331"/>
      <c r="E976" s="331"/>
      <c r="F976" s="331"/>
      <c r="G976" s="331"/>
      <c r="H976" s="330" t="s">
        <v>1337</v>
      </c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  <c r="AA976" s="330"/>
      <c r="AB976" s="330" t="s">
        <v>1348</v>
      </c>
      <c r="AC976" s="330"/>
      <c r="AD976" s="330"/>
      <c r="AE976" s="330"/>
      <c r="AF976" s="330"/>
      <c r="AG976" s="330"/>
      <c r="AH976" s="330" t="s">
        <v>1352</v>
      </c>
      <c r="AI976" s="330"/>
      <c r="AJ976" s="330"/>
      <c r="AK976" s="330"/>
      <c r="AL976" s="330"/>
      <c r="AM976" s="330"/>
      <c r="AN976" s="328">
        <f>VLOOKUP("00-00180807",'Выгрузка из 1С'!$B$4:$K$2000,10,FALSE)</f>
        <v>153806</v>
      </c>
      <c r="AO976" s="328"/>
      <c r="AP976" s="328"/>
      <c r="AQ976" s="328"/>
      <c r="AR976" s="328"/>
      <c r="AS976" s="328"/>
      <c r="AT976" s="25"/>
      <c r="AU976" s="25"/>
      <c r="AV976" s="25"/>
      <c r="AW976" s="25"/>
      <c r="AX976" s="25"/>
    </row>
    <row r="977" spans="1:50" s="35" customFormat="1" ht="15" customHeight="1" x14ac:dyDescent="0.25">
      <c r="A977" s="25"/>
      <c r="B977" s="25"/>
      <c r="C977" s="331" t="s">
        <v>1322</v>
      </c>
      <c r="D977" s="331"/>
      <c r="E977" s="331"/>
      <c r="F977" s="331"/>
      <c r="G977" s="331"/>
      <c r="H977" s="330" t="s">
        <v>1338</v>
      </c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  <c r="AA977" s="330"/>
      <c r="AB977" s="330" t="s">
        <v>1314</v>
      </c>
      <c r="AC977" s="330"/>
      <c r="AD977" s="330"/>
      <c r="AE977" s="330"/>
      <c r="AF977" s="330"/>
      <c r="AG977" s="330"/>
      <c r="AH977" s="330" t="s">
        <v>1351</v>
      </c>
      <c r="AI977" s="330"/>
      <c r="AJ977" s="330"/>
      <c r="AK977" s="330"/>
      <c r="AL977" s="330"/>
      <c r="AM977" s="330"/>
      <c r="AN977" s="328">
        <f>VLOOKUP("00-00180815",'Выгрузка из 1С'!$B$4:$K$2000,10,FALSE)</f>
        <v>67885</v>
      </c>
      <c r="AO977" s="328"/>
      <c r="AP977" s="328"/>
      <c r="AQ977" s="328"/>
      <c r="AR977" s="328"/>
      <c r="AS977" s="328"/>
      <c r="AT977" s="25"/>
      <c r="AU977" s="25"/>
      <c r="AV977" s="25"/>
      <c r="AW977" s="25"/>
      <c r="AX977" s="25"/>
    </row>
    <row r="978" spans="1:50" s="35" customFormat="1" ht="15" customHeight="1" x14ac:dyDescent="0.25">
      <c r="A978" s="25"/>
      <c r="B978" s="25"/>
      <c r="C978" s="331" t="s">
        <v>1323</v>
      </c>
      <c r="D978" s="331"/>
      <c r="E978" s="331"/>
      <c r="F978" s="331"/>
      <c r="G978" s="331"/>
      <c r="H978" s="330" t="s">
        <v>1339</v>
      </c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  <c r="AA978" s="330"/>
      <c r="AB978" s="330" t="s">
        <v>1314</v>
      </c>
      <c r="AC978" s="330"/>
      <c r="AD978" s="330"/>
      <c r="AE978" s="330"/>
      <c r="AF978" s="330"/>
      <c r="AG978" s="330"/>
      <c r="AH978" s="330" t="s">
        <v>1351</v>
      </c>
      <c r="AI978" s="330"/>
      <c r="AJ978" s="330"/>
      <c r="AK978" s="330"/>
      <c r="AL978" s="330"/>
      <c r="AM978" s="330"/>
      <c r="AN978" s="328">
        <f>VLOOKUP("00-00196066",'Выгрузка из 1С'!$B$4:$K$2000,10,FALSE)</f>
        <v>72863</v>
      </c>
      <c r="AO978" s="328"/>
      <c r="AP978" s="328"/>
      <c r="AQ978" s="328"/>
      <c r="AR978" s="328"/>
      <c r="AS978" s="328"/>
      <c r="AT978" s="25"/>
      <c r="AU978" s="25"/>
      <c r="AV978" s="25"/>
      <c r="AW978" s="25"/>
      <c r="AX978" s="25"/>
    </row>
    <row r="979" spans="1:50" s="35" customFormat="1" ht="15" customHeight="1" x14ac:dyDescent="0.25">
      <c r="A979" s="25"/>
      <c r="B979" s="25"/>
      <c r="C979" s="331" t="s">
        <v>1324</v>
      </c>
      <c r="D979" s="331"/>
      <c r="E979" s="331"/>
      <c r="F979" s="331"/>
      <c r="G979" s="331"/>
      <c r="H979" s="330" t="s">
        <v>1340</v>
      </c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  <c r="AA979" s="330"/>
      <c r="AB979" s="330" t="s">
        <v>1349</v>
      </c>
      <c r="AC979" s="330"/>
      <c r="AD979" s="330"/>
      <c r="AE979" s="330"/>
      <c r="AF979" s="330"/>
      <c r="AG979" s="330"/>
      <c r="AH979" s="330" t="s">
        <v>1352</v>
      </c>
      <c r="AI979" s="330"/>
      <c r="AJ979" s="330"/>
      <c r="AK979" s="330"/>
      <c r="AL979" s="330"/>
      <c r="AM979" s="330"/>
      <c r="AN979" s="328">
        <f>VLOOKUP("00-00196067",'Выгрузка из 1С'!$B$4:$K$2000,10,FALSE)</f>
        <v>93164</v>
      </c>
      <c r="AO979" s="328"/>
      <c r="AP979" s="328"/>
      <c r="AQ979" s="328"/>
      <c r="AR979" s="328"/>
      <c r="AS979" s="328"/>
      <c r="AT979" s="25"/>
      <c r="AU979" s="25"/>
      <c r="AV979" s="25"/>
      <c r="AW979" s="25"/>
      <c r="AX979" s="25"/>
    </row>
    <row r="980" spans="1:50" s="35" customFormat="1" ht="15" customHeight="1" x14ac:dyDescent="0.25">
      <c r="A980" s="25"/>
      <c r="B980" s="25"/>
      <c r="C980" s="331" t="s">
        <v>1325</v>
      </c>
      <c r="D980" s="331"/>
      <c r="E980" s="331"/>
      <c r="F980" s="331"/>
      <c r="G980" s="331"/>
      <c r="H980" s="330" t="s">
        <v>1341</v>
      </c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  <c r="AA980" s="330"/>
      <c r="AB980" s="330" t="s">
        <v>1349</v>
      </c>
      <c r="AC980" s="330"/>
      <c r="AD980" s="330"/>
      <c r="AE980" s="330"/>
      <c r="AF980" s="330"/>
      <c r="AG980" s="330"/>
      <c r="AH980" s="330" t="s">
        <v>1352</v>
      </c>
      <c r="AI980" s="330"/>
      <c r="AJ980" s="330"/>
      <c r="AK980" s="330"/>
      <c r="AL980" s="330"/>
      <c r="AM980" s="330"/>
      <c r="AN980" s="328">
        <f>VLOOKUP("00-00196068",'Выгрузка из 1С'!$B$4:$K$2000,10,FALSE)</f>
        <v>98894</v>
      </c>
      <c r="AO980" s="328"/>
      <c r="AP980" s="328"/>
      <c r="AQ980" s="328"/>
      <c r="AR980" s="328"/>
      <c r="AS980" s="328"/>
      <c r="AT980" s="25"/>
      <c r="AU980" s="25"/>
      <c r="AV980" s="25"/>
      <c r="AW980" s="25"/>
      <c r="AX980" s="25"/>
    </row>
    <row r="981" spans="1:50" s="35" customFormat="1" ht="15" customHeight="1" x14ac:dyDescent="0.25">
      <c r="A981" s="25"/>
      <c r="B981" s="25"/>
      <c r="C981" s="331" t="s">
        <v>1326</v>
      </c>
      <c r="D981" s="331"/>
      <c r="E981" s="331"/>
      <c r="F981" s="331"/>
      <c r="G981" s="331"/>
      <c r="H981" s="330" t="s">
        <v>1342</v>
      </c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  <c r="AA981" s="330"/>
      <c r="AB981" s="330" t="s">
        <v>1146</v>
      </c>
      <c r="AC981" s="330"/>
      <c r="AD981" s="330"/>
      <c r="AE981" s="330"/>
      <c r="AF981" s="330"/>
      <c r="AG981" s="330"/>
      <c r="AH981" s="330" t="s">
        <v>1352</v>
      </c>
      <c r="AI981" s="330"/>
      <c r="AJ981" s="330"/>
      <c r="AK981" s="330"/>
      <c r="AL981" s="330"/>
      <c r="AM981" s="330"/>
      <c r="AN981" s="328">
        <f>VLOOKUP("00-00180816",'Выгрузка из 1С'!$B$4:$K$2000,10,FALSE)</f>
        <v>111782</v>
      </c>
      <c r="AO981" s="328"/>
      <c r="AP981" s="328"/>
      <c r="AQ981" s="328"/>
      <c r="AR981" s="328"/>
      <c r="AS981" s="328"/>
      <c r="AT981" s="25"/>
      <c r="AU981" s="25"/>
      <c r="AV981" s="25"/>
      <c r="AW981" s="25"/>
      <c r="AX981" s="25"/>
    </row>
    <row r="982" spans="1:50" s="35" customFormat="1" ht="15" customHeight="1" x14ac:dyDescent="0.25">
      <c r="A982" s="25"/>
      <c r="B982" s="25"/>
      <c r="C982" s="331" t="s">
        <v>1327</v>
      </c>
      <c r="D982" s="331"/>
      <c r="E982" s="331"/>
      <c r="F982" s="331"/>
      <c r="G982" s="331"/>
      <c r="H982" s="330" t="s">
        <v>1343</v>
      </c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  <c r="AA982" s="330"/>
      <c r="AB982" s="330" t="s">
        <v>1146</v>
      </c>
      <c r="AC982" s="330"/>
      <c r="AD982" s="330"/>
      <c r="AE982" s="330"/>
      <c r="AF982" s="330"/>
      <c r="AG982" s="330"/>
      <c r="AH982" s="330" t="s">
        <v>1352</v>
      </c>
      <c r="AI982" s="330"/>
      <c r="AJ982" s="330"/>
      <c r="AK982" s="330"/>
      <c r="AL982" s="330"/>
      <c r="AM982" s="330"/>
      <c r="AN982" s="328">
        <f>VLOOKUP("00-00196069",'Выгрузка из 1С'!$B$4:$K$2000,10,FALSE)</f>
        <v>116453</v>
      </c>
      <c r="AO982" s="328"/>
      <c r="AP982" s="328"/>
      <c r="AQ982" s="328"/>
      <c r="AR982" s="328"/>
      <c r="AS982" s="328"/>
      <c r="AT982" s="25"/>
      <c r="AU982" s="25"/>
      <c r="AV982" s="25"/>
      <c r="AW982" s="25"/>
      <c r="AX982" s="25"/>
    </row>
    <row r="983" spans="1:50" s="35" customFormat="1" ht="15" customHeight="1" x14ac:dyDescent="0.25">
      <c r="A983" s="25"/>
      <c r="B983" s="25"/>
      <c r="C983" s="331" t="s">
        <v>1328</v>
      </c>
      <c r="D983" s="331"/>
      <c r="E983" s="331"/>
      <c r="F983" s="331"/>
      <c r="G983" s="331"/>
      <c r="H983" s="330" t="s">
        <v>1344</v>
      </c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  <c r="AA983" s="330"/>
      <c r="AB983" s="330" t="s">
        <v>1348</v>
      </c>
      <c r="AC983" s="330"/>
      <c r="AD983" s="330"/>
      <c r="AE983" s="330"/>
      <c r="AF983" s="330"/>
      <c r="AG983" s="330"/>
      <c r="AH983" s="330" t="s">
        <v>1352</v>
      </c>
      <c r="AI983" s="330"/>
      <c r="AJ983" s="330"/>
      <c r="AK983" s="330"/>
      <c r="AL983" s="330"/>
      <c r="AM983" s="330"/>
      <c r="AN983" s="328">
        <f>VLOOKUP("00-00180818",'Выгрузка из 1С'!$B$4:$K$2000,10,FALSE)</f>
        <v>128659</v>
      </c>
      <c r="AO983" s="328"/>
      <c r="AP983" s="328"/>
      <c r="AQ983" s="328"/>
      <c r="AR983" s="328"/>
      <c r="AS983" s="328"/>
      <c r="AT983" s="25"/>
      <c r="AU983" s="25"/>
      <c r="AV983" s="25"/>
      <c r="AW983" s="25"/>
      <c r="AX983" s="25"/>
    </row>
    <row r="984" spans="1:50" s="35" customFormat="1" ht="15" customHeight="1" x14ac:dyDescent="0.25">
      <c r="A984" s="25"/>
      <c r="B984" s="25"/>
      <c r="C984" s="331" t="s">
        <v>1329</v>
      </c>
      <c r="D984" s="331"/>
      <c r="E984" s="331"/>
      <c r="F984" s="331"/>
      <c r="G984" s="331"/>
      <c r="H984" s="330" t="s">
        <v>1345</v>
      </c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  <c r="AA984" s="330"/>
      <c r="AB984" s="330" t="s">
        <v>1348</v>
      </c>
      <c r="AC984" s="330"/>
      <c r="AD984" s="330"/>
      <c r="AE984" s="330"/>
      <c r="AF984" s="330"/>
      <c r="AG984" s="330"/>
      <c r="AH984" s="330" t="s">
        <v>1352</v>
      </c>
      <c r="AI984" s="330"/>
      <c r="AJ984" s="330"/>
      <c r="AK984" s="330"/>
      <c r="AL984" s="330"/>
      <c r="AM984" s="330"/>
      <c r="AN984" s="328">
        <f>VLOOKUP("00-00196070",'Выгрузка из 1С'!$B$4:$K$2000,10,FALSE)</f>
        <v>127974</v>
      </c>
      <c r="AO984" s="328"/>
      <c r="AP984" s="328"/>
      <c r="AQ984" s="328"/>
      <c r="AR984" s="328"/>
      <c r="AS984" s="328"/>
      <c r="AT984" s="25"/>
      <c r="AU984" s="25"/>
      <c r="AV984" s="25"/>
      <c r="AW984" s="25"/>
      <c r="AX984" s="25"/>
    </row>
    <row r="985" spans="1:50" s="35" customFormat="1" ht="15" customHeight="1" x14ac:dyDescent="0.25">
      <c r="A985" s="25"/>
      <c r="B985" s="25"/>
      <c r="C985" s="331" t="s">
        <v>1330</v>
      </c>
      <c r="D985" s="331"/>
      <c r="E985" s="331"/>
      <c r="F985" s="331"/>
      <c r="G985" s="331"/>
      <c r="H985" s="330" t="s">
        <v>1346</v>
      </c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  <c r="AA985" s="330"/>
      <c r="AB985" s="330" t="s">
        <v>1350</v>
      </c>
      <c r="AC985" s="330"/>
      <c r="AD985" s="330"/>
      <c r="AE985" s="330"/>
      <c r="AF985" s="330"/>
      <c r="AG985" s="330"/>
      <c r="AH985" s="330" t="s">
        <v>1353</v>
      </c>
      <c r="AI985" s="330"/>
      <c r="AJ985" s="330"/>
      <c r="AK985" s="330"/>
      <c r="AL985" s="330"/>
      <c r="AM985" s="330"/>
      <c r="AN985" s="328">
        <f>VLOOKUP("00-00180813",'Выгрузка из 1С'!$B$4:$K$2000,10,FALSE)</f>
        <v>277400</v>
      </c>
      <c r="AO985" s="328"/>
      <c r="AP985" s="328"/>
      <c r="AQ985" s="328"/>
      <c r="AR985" s="328"/>
      <c r="AS985" s="328"/>
      <c r="AT985" s="25"/>
      <c r="AU985" s="25"/>
      <c r="AV985" s="25"/>
      <c r="AW985" s="25"/>
      <c r="AX985" s="25"/>
    </row>
    <row r="986" spans="1:50" s="35" customFormat="1" ht="15" customHeight="1" x14ac:dyDescent="0.25">
      <c r="A986" s="25"/>
      <c r="B986" s="25"/>
      <c r="C986" s="331" t="s">
        <v>1331</v>
      </c>
      <c r="D986" s="331"/>
      <c r="E986" s="331"/>
      <c r="F986" s="331"/>
      <c r="G986" s="331"/>
      <c r="H986" s="330" t="s">
        <v>1347</v>
      </c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  <c r="AA986" s="330"/>
      <c r="AB986" s="330" t="s">
        <v>1350</v>
      </c>
      <c r="AC986" s="330"/>
      <c r="AD986" s="330"/>
      <c r="AE986" s="330"/>
      <c r="AF986" s="330"/>
      <c r="AG986" s="330"/>
      <c r="AH986" s="330" t="s">
        <v>1353</v>
      </c>
      <c r="AI986" s="330"/>
      <c r="AJ986" s="330"/>
      <c r="AK986" s="330"/>
      <c r="AL986" s="330"/>
      <c r="AM986" s="330"/>
      <c r="AN986" s="328">
        <f>VLOOKUP("00-00180814",'Выгрузка из 1С'!$B$4:$K$2000,10,FALSE)</f>
        <v>282113</v>
      </c>
      <c r="AO986" s="328"/>
      <c r="AP986" s="328"/>
      <c r="AQ986" s="328"/>
      <c r="AR986" s="328"/>
      <c r="AS986" s="328"/>
      <c r="AT986" s="25"/>
      <c r="AU986" s="25"/>
      <c r="AV986" s="25"/>
      <c r="AW986" s="25"/>
      <c r="AX986" s="25"/>
    </row>
    <row r="987" spans="1:50" s="35" customFormat="1" ht="15" customHeight="1" x14ac:dyDescent="0.2">
      <c r="A987" s="25"/>
      <c r="B987" s="25"/>
      <c r="C987" s="329" t="s">
        <v>1466</v>
      </c>
      <c r="D987" s="329"/>
      <c r="E987" s="329"/>
      <c r="F987" s="329"/>
      <c r="G987" s="329"/>
      <c r="H987" s="329"/>
      <c r="I987" s="329"/>
      <c r="J987" s="329"/>
      <c r="K987" s="329"/>
      <c r="L987" s="329"/>
      <c r="M987" s="329"/>
      <c r="N987" s="329"/>
      <c r="O987" s="329"/>
      <c r="P987" s="329"/>
      <c r="Q987" s="329"/>
      <c r="R987" s="329"/>
      <c r="S987" s="329"/>
      <c r="T987" s="329"/>
      <c r="U987" s="329"/>
      <c r="V987" s="329"/>
      <c r="W987" s="329"/>
      <c r="X987" s="329"/>
      <c r="Y987" s="329"/>
      <c r="Z987" s="329"/>
      <c r="AA987" s="329"/>
      <c r="AB987" s="329"/>
      <c r="AC987" s="329"/>
      <c r="AD987" s="329"/>
      <c r="AE987" s="329"/>
      <c r="AF987" s="329"/>
      <c r="AG987" s="329"/>
      <c r="AH987" s="329"/>
      <c r="AI987" s="329"/>
      <c r="AJ987" s="329"/>
      <c r="AK987" s="329"/>
      <c r="AL987" s="329"/>
      <c r="AM987" s="329"/>
      <c r="AN987" s="329"/>
      <c r="AO987" s="329"/>
      <c r="AP987" s="329"/>
      <c r="AQ987" s="329"/>
      <c r="AR987" s="329"/>
      <c r="AS987" s="329"/>
      <c r="AT987" s="25"/>
      <c r="AU987" s="25"/>
      <c r="AV987" s="25"/>
      <c r="AW987" s="25"/>
      <c r="AX987" s="25"/>
    </row>
    <row r="988" spans="1:50" s="35" customFormat="1" ht="15" customHeight="1" x14ac:dyDescent="0.25">
      <c r="A988" s="25"/>
      <c r="B988" s="25"/>
      <c r="C988" s="331" t="s">
        <v>1354</v>
      </c>
      <c r="D988" s="331"/>
      <c r="E988" s="331"/>
      <c r="F988" s="331"/>
      <c r="G988" s="331"/>
      <c r="H988" s="330" t="s">
        <v>1389</v>
      </c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  <c r="AA988" s="330"/>
      <c r="AB988" s="330" t="s">
        <v>1314</v>
      </c>
      <c r="AC988" s="330"/>
      <c r="AD988" s="330"/>
      <c r="AE988" s="330"/>
      <c r="AF988" s="330"/>
      <c r="AG988" s="330"/>
      <c r="AH988" s="330" t="s">
        <v>1273</v>
      </c>
      <c r="AI988" s="330"/>
      <c r="AJ988" s="330"/>
      <c r="AK988" s="330"/>
      <c r="AL988" s="330"/>
      <c r="AM988" s="330"/>
      <c r="AN988" s="328">
        <f>VLOOKUP("УТ-00096872",'Выгрузка из 1С'!$B$4:$K$2000,10,FALSE)</f>
        <v>13934</v>
      </c>
      <c r="AO988" s="328"/>
      <c r="AP988" s="328"/>
      <c r="AQ988" s="328"/>
      <c r="AR988" s="328"/>
      <c r="AS988" s="328"/>
      <c r="AT988" s="25"/>
      <c r="AU988" s="25"/>
      <c r="AV988" s="25"/>
      <c r="AW988" s="25"/>
      <c r="AX988" s="25"/>
    </row>
    <row r="989" spans="1:50" s="35" customFormat="1" ht="15" customHeight="1" x14ac:dyDescent="0.25">
      <c r="A989" s="25"/>
      <c r="B989" s="25"/>
      <c r="C989" s="331" t="s">
        <v>1355</v>
      </c>
      <c r="D989" s="331"/>
      <c r="E989" s="331"/>
      <c r="F989" s="331"/>
      <c r="G989" s="331"/>
      <c r="H989" s="330" t="s">
        <v>1390</v>
      </c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  <c r="AA989" s="330"/>
      <c r="AB989" s="330" t="s">
        <v>1314</v>
      </c>
      <c r="AC989" s="330"/>
      <c r="AD989" s="330"/>
      <c r="AE989" s="330"/>
      <c r="AF989" s="330"/>
      <c r="AG989" s="330"/>
      <c r="AH989" s="330" t="s">
        <v>1273</v>
      </c>
      <c r="AI989" s="330"/>
      <c r="AJ989" s="330"/>
      <c r="AK989" s="330"/>
      <c r="AL989" s="330"/>
      <c r="AM989" s="330"/>
      <c r="AN989" s="328">
        <f>VLOOKUP("УТ-00114564",'Выгрузка из 1С'!$B$4:$K$2000,10,FALSE)</f>
        <v>15192</v>
      </c>
      <c r="AO989" s="328"/>
      <c r="AP989" s="328"/>
      <c r="AQ989" s="328"/>
      <c r="AR989" s="328"/>
      <c r="AS989" s="328"/>
      <c r="AT989" s="25"/>
      <c r="AU989" s="25"/>
      <c r="AV989" s="25"/>
      <c r="AW989" s="25"/>
      <c r="AX989" s="25"/>
    </row>
    <row r="990" spans="1:50" s="35" customFormat="1" ht="15" customHeight="1" x14ac:dyDescent="0.25">
      <c r="A990" s="25"/>
      <c r="B990" s="25"/>
      <c r="C990" s="331" t="s">
        <v>1356</v>
      </c>
      <c r="D990" s="331"/>
      <c r="E990" s="331"/>
      <c r="F990" s="331"/>
      <c r="G990" s="331"/>
      <c r="H990" s="330" t="s">
        <v>1391</v>
      </c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  <c r="AA990" s="330"/>
      <c r="AB990" s="330" t="s">
        <v>1314</v>
      </c>
      <c r="AC990" s="330"/>
      <c r="AD990" s="330"/>
      <c r="AE990" s="330"/>
      <c r="AF990" s="330"/>
      <c r="AG990" s="330"/>
      <c r="AH990" s="330" t="s">
        <v>1273</v>
      </c>
      <c r="AI990" s="330"/>
      <c r="AJ990" s="330"/>
      <c r="AK990" s="330"/>
      <c r="AL990" s="330"/>
      <c r="AM990" s="330"/>
      <c r="AN990" s="328">
        <f>VLOOKUP("00-00180842",'Выгрузка из 1С'!$B$4:$K$2000,10,FALSE)</f>
        <v>20829</v>
      </c>
      <c r="AO990" s="328"/>
      <c r="AP990" s="328"/>
      <c r="AQ990" s="328"/>
      <c r="AR990" s="328"/>
      <c r="AS990" s="328"/>
      <c r="AT990" s="25"/>
      <c r="AU990" s="25"/>
      <c r="AV990" s="25"/>
      <c r="AW990" s="25"/>
      <c r="AX990" s="25"/>
    </row>
    <row r="991" spans="1:50" s="35" customFormat="1" ht="15" customHeight="1" x14ac:dyDescent="0.25">
      <c r="A991" s="25"/>
      <c r="B991" s="25"/>
      <c r="C991" s="331" t="s">
        <v>1357</v>
      </c>
      <c r="D991" s="331"/>
      <c r="E991" s="331"/>
      <c r="F991" s="331"/>
      <c r="G991" s="331"/>
      <c r="H991" s="330" t="s">
        <v>1392</v>
      </c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  <c r="AA991" s="330"/>
      <c r="AB991" s="330" t="s">
        <v>1314</v>
      </c>
      <c r="AC991" s="330"/>
      <c r="AD991" s="330"/>
      <c r="AE991" s="330"/>
      <c r="AF991" s="330"/>
      <c r="AG991" s="330"/>
      <c r="AH991" s="330" t="s">
        <v>1273</v>
      </c>
      <c r="AI991" s="330"/>
      <c r="AJ991" s="330"/>
      <c r="AK991" s="330"/>
      <c r="AL991" s="330"/>
      <c r="AM991" s="330"/>
      <c r="AN991" s="328">
        <f>VLOOKUP("00-00180841",'Выгрузка из 1С'!$B$4:$K$2000,10,FALSE)</f>
        <v>22910</v>
      </c>
      <c r="AO991" s="328"/>
      <c r="AP991" s="328"/>
      <c r="AQ991" s="328"/>
      <c r="AR991" s="328"/>
      <c r="AS991" s="328"/>
      <c r="AT991" s="25"/>
      <c r="AU991" s="25"/>
      <c r="AV991" s="25"/>
      <c r="AW991" s="25"/>
      <c r="AX991" s="25"/>
    </row>
    <row r="992" spans="1:50" s="35" customFormat="1" ht="15" customHeight="1" x14ac:dyDescent="0.25">
      <c r="A992" s="25"/>
      <c r="B992" s="25"/>
      <c r="C992" s="331" t="s">
        <v>1358</v>
      </c>
      <c r="D992" s="331"/>
      <c r="E992" s="331"/>
      <c r="F992" s="331"/>
      <c r="G992" s="331"/>
      <c r="H992" s="330" t="s">
        <v>1393</v>
      </c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  <c r="AA992" s="330"/>
      <c r="AB992" s="330" t="s">
        <v>1314</v>
      </c>
      <c r="AC992" s="330"/>
      <c r="AD992" s="330"/>
      <c r="AE992" s="330"/>
      <c r="AF992" s="330"/>
      <c r="AG992" s="330"/>
      <c r="AH992" s="330" t="s">
        <v>1273</v>
      </c>
      <c r="AI992" s="330"/>
      <c r="AJ992" s="330"/>
      <c r="AK992" s="330"/>
      <c r="AL992" s="330"/>
      <c r="AM992" s="330"/>
      <c r="AN992" s="328">
        <f>VLOOKUP("00-00196084",'Выгрузка из 1С'!$B$4:$K$2000,10,FALSE)</f>
        <v>28440</v>
      </c>
      <c r="AO992" s="328"/>
      <c r="AP992" s="328"/>
      <c r="AQ992" s="328"/>
      <c r="AR992" s="328"/>
      <c r="AS992" s="328"/>
      <c r="AT992" s="25"/>
      <c r="AU992" s="25"/>
      <c r="AV992" s="25"/>
      <c r="AW992" s="25"/>
      <c r="AX992" s="25"/>
    </row>
    <row r="993" spans="1:50" s="35" customFormat="1" ht="15" customHeight="1" x14ac:dyDescent="0.25">
      <c r="A993" s="25"/>
      <c r="B993" s="25"/>
      <c r="C993" s="331" t="s">
        <v>1359</v>
      </c>
      <c r="D993" s="331"/>
      <c r="E993" s="331"/>
      <c r="F993" s="331"/>
      <c r="G993" s="331"/>
      <c r="H993" s="330" t="s">
        <v>1394</v>
      </c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  <c r="AA993" s="330"/>
      <c r="AB993" s="330" t="s">
        <v>1349</v>
      </c>
      <c r="AC993" s="330"/>
      <c r="AD993" s="330"/>
      <c r="AE993" s="330"/>
      <c r="AF993" s="330"/>
      <c r="AG993" s="330"/>
      <c r="AH993" s="330" t="s">
        <v>1273</v>
      </c>
      <c r="AI993" s="330"/>
      <c r="AJ993" s="330"/>
      <c r="AK993" s="330"/>
      <c r="AL993" s="330"/>
      <c r="AM993" s="330"/>
      <c r="AN993" s="328">
        <f>VLOOKUP("00-00180993",'Выгрузка из 1С'!$B$4:$K$2000,10,FALSE)</f>
        <v>15296</v>
      </c>
      <c r="AO993" s="328"/>
      <c r="AP993" s="328"/>
      <c r="AQ993" s="328"/>
      <c r="AR993" s="328"/>
      <c r="AS993" s="328"/>
      <c r="AT993" s="25"/>
      <c r="AU993" s="25"/>
      <c r="AV993" s="25"/>
      <c r="AW993" s="25"/>
      <c r="AX993" s="25"/>
    </row>
    <row r="994" spans="1:50" s="35" customFormat="1" ht="15" customHeight="1" x14ac:dyDescent="0.25">
      <c r="A994" s="25"/>
      <c r="B994" s="25"/>
      <c r="C994" s="331" t="s">
        <v>1360</v>
      </c>
      <c r="D994" s="331"/>
      <c r="E994" s="331"/>
      <c r="F994" s="331"/>
      <c r="G994" s="331"/>
      <c r="H994" s="330" t="s">
        <v>1395</v>
      </c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  <c r="AA994" s="330"/>
      <c r="AB994" s="330" t="s">
        <v>1349</v>
      </c>
      <c r="AC994" s="330"/>
      <c r="AD994" s="330"/>
      <c r="AE994" s="330"/>
      <c r="AF994" s="330"/>
      <c r="AG994" s="330"/>
      <c r="AH994" s="330" t="s">
        <v>1273</v>
      </c>
      <c r="AI994" s="330"/>
      <c r="AJ994" s="330"/>
      <c r="AK994" s="330"/>
      <c r="AL994" s="330"/>
      <c r="AM994" s="330"/>
      <c r="AN994" s="328">
        <f>VLOOKUP("00-00180994",'Выгрузка из 1С'!$B$4:$K$2000,10,FALSE)</f>
        <v>16552</v>
      </c>
      <c r="AO994" s="328"/>
      <c r="AP994" s="328"/>
      <c r="AQ994" s="328"/>
      <c r="AR994" s="328"/>
      <c r="AS994" s="328"/>
      <c r="AT994" s="25"/>
      <c r="AU994" s="25"/>
      <c r="AV994" s="25"/>
      <c r="AW994" s="25"/>
      <c r="AX994" s="25"/>
    </row>
    <row r="995" spans="1:50" s="35" customFormat="1" ht="15" customHeight="1" x14ac:dyDescent="0.25">
      <c r="A995" s="25"/>
      <c r="B995" s="25"/>
      <c r="C995" s="331" t="s">
        <v>1361</v>
      </c>
      <c r="D995" s="331"/>
      <c r="E995" s="331"/>
      <c r="F995" s="331"/>
      <c r="G995" s="331"/>
      <c r="H995" s="330" t="s">
        <v>1396</v>
      </c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  <c r="AA995" s="330"/>
      <c r="AB995" s="330" t="s">
        <v>1349</v>
      </c>
      <c r="AC995" s="330"/>
      <c r="AD995" s="330"/>
      <c r="AE995" s="330"/>
      <c r="AF995" s="330"/>
      <c r="AG995" s="330"/>
      <c r="AH995" s="330" t="s">
        <v>1270</v>
      </c>
      <c r="AI995" s="330"/>
      <c r="AJ995" s="330"/>
      <c r="AK995" s="330"/>
      <c r="AL995" s="330"/>
      <c r="AM995" s="330"/>
      <c r="AN995" s="328">
        <f>VLOOKUP("00-00180995",'Выгрузка из 1С'!$B$4:$K$2000,10,FALSE)</f>
        <v>58234</v>
      </c>
      <c r="AO995" s="328"/>
      <c r="AP995" s="328"/>
      <c r="AQ995" s="328"/>
      <c r="AR995" s="328"/>
      <c r="AS995" s="328"/>
      <c r="AT995" s="25"/>
      <c r="AU995" s="25"/>
      <c r="AV995" s="25"/>
      <c r="AW995" s="25"/>
      <c r="AX995" s="25"/>
    </row>
    <row r="996" spans="1:50" s="35" customFormat="1" ht="15" customHeight="1" x14ac:dyDescent="0.25">
      <c r="A996" s="25"/>
      <c r="B996" s="25"/>
      <c r="C996" s="331" t="s">
        <v>1362</v>
      </c>
      <c r="D996" s="331"/>
      <c r="E996" s="331"/>
      <c r="F996" s="331"/>
      <c r="G996" s="331"/>
      <c r="H996" s="330" t="s">
        <v>1397</v>
      </c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  <c r="AA996" s="330"/>
      <c r="AB996" s="330" t="s">
        <v>1349</v>
      </c>
      <c r="AC996" s="330"/>
      <c r="AD996" s="330"/>
      <c r="AE996" s="330"/>
      <c r="AF996" s="330"/>
      <c r="AG996" s="330"/>
      <c r="AH996" s="330" t="s">
        <v>1270</v>
      </c>
      <c r="AI996" s="330"/>
      <c r="AJ996" s="330"/>
      <c r="AK996" s="330"/>
      <c r="AL996" s="330"/>
      <c r="AM996" s="330"/>
      <c r="AN996" s="328">
        <f>VLOOKUP("00-00180996",'Выгрузка из 1С'!$B$4:$K$2000,10,FALSE)</f>
        <v>64072</v>
      </c>
      <c r="AO996" s="328"/>
      <c r="AP996" s="328"/>
      <c r="AQ996" s="328"/>
      <c r="AR996" s="328"/>
      <c r="AS996" s="328"/>
      <c r="AT996" s="25"/>
      <c r="AU996" s="25"/>
      <c r="AV996" s="25"/>
      <c r="AW996" s="25"/>
      <c r="AX996" s="25"/>
    </row>
    <row r="997" spans="1:50" s="35" customFormat="1" ht="15" customHeight="1" x14ac:dyDescent="0.25">
      <c r="A997" s="25"/>
      <c r="B997" s="25"/>
      <c r="C997" s="331" t="s">
        <v>1363</v>
      </c>
      <c r="D997" s="331"/>
      <c r="E997" s="331"/>
      <c r="F997" s="331"/>
      <c r="G997" s="331"/>
      <c r="H997" s="330" t="s">
        <v>1398</v>
      </c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  <c r="AA997" s="330"/>
      <c r="AB997" s="330" t="s">
        <v>1349</v>
      </c>
      <c r="AC997" s="330"/>
      <c r="AD997" s="330"/>
      <c r="AE997" s="330"/>
      <c r="AF997" s="330"/>
      <c r="AG997" s="330"/>
      <c r="AH997" s="330" t="s">
        <v>1273</v>
      </c>
      <c r="AI997" s="330"/>
      <c r="AJ997" s="330"/>
      <c r="AK997" s="330"/>
      <c r="AL997" s="330"/>
      <c r="AM997" s="330"/>
      <c r="AN997" s="328">
        <f>VLOOKUP("00-00180997",'Выгрузка из 1С'!$B$4:$K$2000,10,FALSE)</f>
        <v>26959</v>
      </c>
      <c r="AO997" s="328"/>
      <c r="AP997" s="328"/>
      <c r="AQ997" s="328"/>
      <c r="AR997" s="328"/>
      <c r="AS997" s="328"/>
      <c r="AT997" s="25"/>
      <c r="AU997" s="25"/>
      <c r="AV997" s="25"/>
      <c r="AW997" s="25"/>
      <c r="AX997" s="25"/>
    </row>
    <row r="998" spans="1:50" s="35" customFormat="1" ht="15" customHeight="1" x14ac:dyDescent="0.25">
      <c r="A998" s="25"/>
      <c r="B998" s="25"/>
      <c r="C998" s="331" t="s">
        <v>1364</v>
      </c>
      <c r="D998" s="331"/>
      <c r="E998" s="331"/>
      <c r="F998" s="331"/>
      <c r="G998" s="331"/>
      <c r="H998" s="330" t="s">
        <v>1399</v>
      </c>
      <c r="I998" s="330"/>
      <c r="J998" s="330"/>
      <c r="K998" s="330"/>
      <c r="L998" s="330"/>
      <c r="M998" s="330"/>
      <c r="N998" s="330"/>
      <c r="O998" s="330"/>
      <c r="P998" s="330"/>
      <c r="Q998" s="330"/>
      <c r="R998" s="330"/>
      <c r="S998" s="330"/>
      <c r="T998" s="330"/>
      <c r="U998" s="330"/>
      <c r="V998" s="330"/>
      <c r="W998" s="330"/>
      <c r="X998" s="330"/>
      <c r="Y998" s="330"/>
      <c r="Z998" s="330"/>
      <c r="AA998" s="330"/>
      <c r="AB998" s="330" t="s">
        <v>1349</v>
      </c>
      <c r="AC998" s="330"/>
      <c r="AD998" s="330"/>
      <c r="AE998" s="330"/>
      <c r="AF998" s="330"/>
      <c r="AG998" s="330"/>
      <c r="AH998" s="330" t="s">
        <v>1273</v>
      </c>
      <c r="AI998" s="330"/>
      <c r="AJ998" s="330"/>
      <c r="AK998" s="330"/>
      <c r="AL998" s="330"/>
      <c r="AM998" s="330"/>
      <c r="AN998" s="328">
        <f>VLOOKUP("00-00180998",'Выгрузка из 1С'!$B$4:$K$2000,10,FALSE)</f>
        <v>29655</v>
      </c>
      <c r="AO998" s="328"/>
      <c r="AP998" s="328"/>
      <c r="AQ998" s="328"/>
      <c r="AR998" s="328"/>
      <c r="AS998" s="328"/>
      <c r="AT998" s="25"/>
      <c r="AU998" s="25"/>
      <c r="AV998" s="25"/>
      <c r="AW998" s="25"/>
      <c r="AX998" s="25"/>
    </row>
    <row r="999" spans="1:50" s="35" customFormat="1" ht="15" customHeight="1" x14ac:dyDescent="0.25">
      <c r="A999" s="25"/>
      <c r="B999" s="25"/>
      <c r="C999" s="331" t="s">
        <v>1365</v>
      </c>
      <c r="D999" s="331"/>
      <c r="E999" s="331"/>
      <c r="F999" s="331"/>
      <c r="G999" s="331"/>
      <c r="H999" s="330" t="s">
        <v>1400</v>
      </c>
      <c r="I999" s="330"/>
      <c r="J999" s="330"/>
      <c r="K999" s="330"/>
      <c r="L999" s="330"/>
      <c r="M999" s="330"/>
      <c r="N999" s="330"/>
      <c r="O999" s="330"/>
      <c r="P999" s="330"/>
      <c r="Q999" s="330"/>
      <c r="R999" s="330"/>
      <c r="S999" s="330"/>
      <c r="T999" s="330"/>
      <c r="U999" s="330"/>
      <c r="V999" s="330"/>
      <c r="W999" s="330"/>
      <c r="X999" s="330"/>
      <c r="Y999" s="330"/>
      <c r="Z999" s="330"/>
      <c r="AA999" s="330"/>
      <c r="AB999" s="330" t="s">
        <v>1349</v>
      </c>
      <c r="AC999" s="330"/>
      <c r="AD999" s="330"/>
      <c r="AE999" s="330"/>
      <c r="AF999" s="330"/>
      <c r="AG999" s="330"/>
      <c r="AH999" s="330" t="s">
        <v>1270</v>
      </c>
      <c r="AI999" s="330"/>
      <c r="AJ999" s="330"/>
      <c r="AK999" s="330"/>
      <c r="AL999" s="330"/>
      <c r="AM999" s="330"/>
      <c r="AN999" s="328">
        <f>VLOOKUP("00-00196086",'Выгрузка из 1С'!$B$4:$K$2000,10,FALSE)</f>
        <v>31674</v>
      </c>
      <c r="AO999" s="328"/>
      <c r="AP999" s="328"/>
      <c r="AQ999" s="328"/>
      <c r="AR999" s="328"/>
      <c r="AS999" s="328"/>
      <c r="AT999" s="25"/>
      <c r="AU999" s="25"/>
      <c r="AV999" s="25"/>
      <c r="AW999" s="25"/>
      <c r="AX999" s="25"/>
    </row>
    <row r="1000" spans="1:50" s="35" customFormat="1" ht="15" customHeight="1" x14ac:dyDescent="0.25">
      <c r="A1000" s="25"/>
      <c r="B1000" s="25"/>
      <c r="C1000" s="331" t="s">
        <v>1366</v>
      </c>
      <c r="D1000" s="331"/>
      <c r="E1000" s="331"/>
      <c r="F1000" s="331"/>
      <c r="G1000" s="331"/>
      <c r="H1000" s="330" t="s">
        <v>1401</v>
      </c>
      <c r="I1000" s="330"/>
      <c r="J1000" s="330"/>
      <c r="K1000" s="330"/>
      <c r="L1000" s="330"/>
      <c r="M1000" s="330"/>
      <c r="N1000" s="330"/>
      <c r="O1000" s="330"/>
      <c r="P1000" s="330"/>
      <c r="Q1000" s="330"/>
      <c r="R1000" s="330"/>
      <c r="S1000" s="330"/>
      <c r="T1000" s="330"/>
      <c r="U1000" s="330"/>
      <c r="V1000" s="330"/>
      <c r="W1000" s="330"/>
      <c r="X1000" s="330"/>
      <c r="Y1000" s="330"/>
      <c r="Z1000" s="330"/>
      <c r="AA1000" s="330"/>
      <c r="AB1000" s="330" t="s">
        <v>1146</v>
      </c>
      <c r="AC1000" s="330"/>
      <c r="AD1000" s="330"/>
      <c r="AE1000" s="330"/>
      <c r="AF1000" s="330"/>
      <c r="AG1000" s="330"/>
      <c r="AH1000" s="330" t="s">
        <v>1424</v>
      </c>
      <c r="AI1000" s="330"/>
      <c r="AJ1000" s="330"/>
      <c r="AK1000" s="330"/>
      <c r="AL1000" s="330"/>
      <c r="AM1000" s="330"/>
      <c r="AN1000" s="328">
        <f>VLOOKUP("УТ-00096878",'Выгрузка из 1С'!$B$4:$K$2000,10,FALSE)</f>
        <v>17859</v>
      </c>
      <c r="AO1000" s="328"/>
      <c r="AP1000" s="328"/>
      <c r="AQ1000" s="328"/>
      <c r="AR1000" s="328"/>
      <c r="AS1000" s="328"/>
      <c r="AT1000" s="25"/>
      <c r="AU1000" s="25"/>
      <c r="AV1000" s="25"/>
      <c r="AW1000" s="25"/>
      <c r="AX1000" s="25"/>
    </row>
    <row r="1001" spans="1:50" s="35" customFormat="1" ht="15" customHeight="1" x14ac:dyDescent="0.25">
      <c r="A1001" s="25"/>
      <c r="B1001" s="25"/>
      <c r="C1001" s="331" t="s">
        <v>1367</v>
      </c>
      <c r="D1001" s="331"/>
      <c r="E1001" s="331"/>
      <c r="F1001" s="331"/>
      <c r="G1001" s="331"/>
      <c r="H1001" s="330" t="s">
        <v>1402</v>
      </c>
      <c r="I1001" s="330"/>
      <c r="J1001" s="330"/>
      <c r="K1001" s="330"/>
      <c r="L1001" s="330"/>
      <c r="M1001" s="330"/>
      <c r="N1001" s="330"/>
      <c r="O1001" s="330"/>
      <c r="P1001" s="330"/>
      <c r="Q1001" s="330"/>
      <c r="R1001" s="330"/>
      <c r="S1001" s="330"/>
      <c r="T1001" s="330"/>
      <c r="U1001" s="330"/>
      <c r="V1001" s="330"/>
      <c r="W1001" s="330"/>
      <c r="X1001" s="330"/>
      <c r="Y1001" s="330"/>
      <c r="Z1001" s="330"/>
      <c r="AA1001" s="330"/>
      <c r="AB1001" s="330" t="s">
        <v>1146</v>
      </c>
      <c r="AC1001" s="330"/>
      <c r="AD1001" s="330"/>
      <c r="AE1001" s="330"/>
      <c r="AF1001" s="330"/>
      <c r="AG1001" s="330"/>
      <c r="AH1001" s="330" t="s">
        <v>1424</v>
      </c>
      <c r="AI1001" s="330"/>
      <c r="AJ1001" s="330"/>
      <c r="AK1001" s="330"/>
      <c r="AL1001" s="330"/>
      <c r="AM1001" s="330"/>
      <c r="AN1001" s="328">
        <f>VLOOKUP("УТ-00099928",'Выгрузка из 1С'!$B$4:$K$2000,10,FALSE)</f>
        <v>19142</v>
      </c>
      <c r="AO1001" s="328"/>
      <c r="AP1001" s="328"/>
      <c r="AQ1001" s="328"/>
      <c r="AR1001" s="328"/>
      <c r="AS1001" s="328"/>
      <c r="AT1001" s="25"/>
      <c r="AU1001" s="25"/>
      <c r="AV1001" s="25"/>
      <c r="AW1001" s="25"/>
      <c r="AX1001" s="25"/>
    </row>
    <row r="1002" spans="1:50" s="35" customFormat="1" ht="15" customHeight="1" x14ac:dyDescent="0.25">
      <c r="A1002" s="25"/>
      <c r="B1002" s="25"/>
      <c r="C1002" s="331" t="s">
        <v>1368</v>
      </c>
      <c r="D1002" s="331"/>
      <c r="E1002" s="331"/>
      <c r="F1002" s="331"/>
      <c r="G1002" s="331"/>
      <c r="H1002" s="330" t="s">
        <v>1403</v>
      </c>
      <c r="I1002" s="330"/>
      <c r="J1002" s="330"/>
      <c r="K1002" s="330"/>
      <c r="L1002" s="330"/>
      <c r="M1002" s="330"/>
      <c r="N1002" s="330"/>
      <c r="O1002" s="330"/>
      <c r="P1002" s="330"/>
      <c r="Q1002" s="330"/>
      <c r="R1002" s="330"/>
      <c r="S1002" s="330"/>
      <c r="T1002" s="330"/>
      <c r="U1002" s="330"/>
      <c r="V1002" s="330"/>
      <c r="W1002" s="330"/>
      <c r="X1002" s="330"/>
      <c r="Y1002" s="330"/>
      <c r="Z1002" s="330"/>
      <c r="AA1002" s="330"/>
      <c r="AB1002" s="330" t="s">
        <v>1146</v>
      </c>
      <c r="AC1002" s="330"/>
      <c r="AD1002" s="330"/>
      <c r="AE1002" s="330"/>
      <c r="AF1002" s="330"/>
      <c r="AG1002" s="330"/>
      <c r="AH1002" s="330" t="s">
        <v>1425</v>
      </c>
      <c r="AI1002" s="330"/>
      <c r="AJ1002" s="330"/>
      <c r="AK1002" s="330"/>
      <c r="AL1002" s="330"/>
      <c r="AM1002" s="330"/>
      <c r="AN1002" s="328">
        <f>VLOOKUP("00-00180845",'Выгрузка из 1С'!$B$4:$K$2000,10,FALSE)</f>
        <v>62797</v>
      </c>
      <c r="AO1002" s="328"/>
      <c r="AP1002" s="328"/>
      <c r="AQ1002" s="328"/>
      <c r="AR1002" s="328"/>
      <c r="AS1002" s="328"/>
      <c r="AT1002" s="25"/>
      <c r="AU1002" s="25"/>
      <c r="AV1002" s="25"/>
      <c r="AW1002" s="25"/>
      <c r="AX1002" s="25"/>
    </row>
    <row r="1003" spans="1:50" s="35" customFormat="1" ht="15" customHeight="1" x14ac:dyDescent="0.25">
      <c r="A1003" s="25"/>
      <c r="B1003" s="25"/>
      <c r="C1003" s="331" t="s">
        <v>1369</v>
      </c>
      <c r="D1003" s="331"/>
      <c r="E1003" s="331"/>
      <c r="F1003" s="331"/>
      <c r="G1003" s="331"/>
      <c r="H1003" s="330" t="s">
        <v>1404</v>
      </c>
      <c r="I1003" s="330"/>
      <c r="J1003" s="330"/>
      <c r="K1003" s="330"/>
      <c r="L1003" s="330"/>
      <c r="M1003" s="330"/>
      <c r="N1003" s="330"/>
      <c r="O1003" s="330"/>
      <c r="P1003" s="330"/>
      <c r="Q1003" s="330"/>
      <c r="R1003" s="330"/>
      <c r="S1003" s="330"/>
      <c r="T1003" s="330"/>
      <c r="U1003" s="330"/>
      <c r="V1003" s="330"/>
      <c r="W1003" s="330"/>
      <c r="X1003" s="330"/>
      <c r="Y1003" s="330"/>
      <c r="Z1003" s="330"/>
      <c r="AA1003" s="330"/>
      <c r="AB1003" s="330" t="s">
        <v>1146</v>
      </c>
      <c r="AC1003" s="330"/>
      <c r="AD1003" s="330"/>
      <c r="AE1003" s="330"/>
      <c r="AF1003" s="330"/>
      <c r="AG1003" s="330"/>
      <c r="AH1003" s="330" t="s">
        <v>1425</v>
      </c>
      <c r="AI1003" s="330"/>
      <c r="AJ1003" s="330"/>
      <c r="AK1003" s="330"/>
      <c r="AL1003" s="330"/>
      <c r="AM1003" s="330"/>
      <c r="AN1003" s="328">
        <f>VLOOKUP("00-00180846",'Выгрузка из 1С'!$B$4:$K$2000,10,FALSE)</f>
        <v>69044</v>
      </c>
      <c r="AO1003" s="328"/>
      <c r="AP1003" s="328"/>
      <c r="AQ1003" s="328"/>
      <c r="AR1003" s="328"/>
      <c r="AS1003" s="328"/>
      <c r="AT1003" s="25"/>
      <c r="AU1003" s="25"/>
      <c r="AV1003" s="25"/>
      <c r="AW1003" s="25"/>
      <c r="AX1003" s="25"/>
    </row>
    <row r="1004" spans="1:50" s="35" customFormat="1" ht="15" customHeight="1" x14ac:dyDescent="0.25">
      <c r="A1004" s="25"/>
      <c r="B1004" s="25"/>
      <c r="C1004" s="331" t="s">
        <v>1370</v>
      </c>
      <c r="D1004" s="331"/>
      <c r="E1004" s="331"/>
      <c r="F1004" s="331"/>
      <c r="G1004" s="331"/>
      <c r="H1004" s="330" t="s">
        <v>1405</v>
      </c>
      <c r="I1004" s="330"/>
      <c r="J1004" s="330"/>
      <c r="K1004" s="330"/>
      <c r="L1004" s="330"/>
      <c r="M1004" s="330"/>
      <c r="N1004" s="330"/>
      <c r="O1004" s="330"/>
      <c r="P1004" s="330"/>
      <c r="Q1004" s="330"/>
      <c r="R1004" s="330"/>
      <c r="S1004" s="330"/>
      <c r="T1004" s="330"/>
      <c r="U1004" s="330"/>
      <c r="V1004" s="330"/>
      <c r="W1004" s="330"/>
      <c r="X1004" s="330"/>
      <c r="Y1004" s="330"/>
      <c r="Z1004" s="330"/>
      <c r="AA1004" s="330"/>
      <c r="AB1004" s="330" t="s">
        <v>1146</v>
      </c>
      <c r="AC1004" s="330"/>
      <c r="AD1004" s="330"/>
      <c r="AE1004" s="330"/>
      <c r="AF1004" s="330"/>
      <c r="AG1004" s="330"/>
      <c r="AH1004" s="330" t="s">
        <v>1424</v>
      </c>
      <c r="AI1004" s="330"/>
      <c r="AJ1004" s="330"/>
      <c r="AK1004" s="330"/>
      <c r="AL1004" s="330"/>
      <c r="AM1004" s="330"/>
      <c r="AN1004" s="328">
        <f>VLOOKUP("00-00180848",'Выгрузка из 1С'!$B$4:$K$2000,10,FALSE)</f>
        <v>26991</v>
      </c>
      <c r="AO1004" s="328"/>
      <c r="AP1004" s="328"/>
      <c r="AQ1004" s="328"/>
      <c r="AR1004" s="328"/>
      <c r="AS1004" s="328"/>
      <c r="AT1004" s="25"/>
      <c r="AU1004" s="25"/>
      <c r="AV1004" s="25"/>
      <c r="AW1004" s="25"/>
      <c r="AX1004" s="25"/>
    </row>
    <row r="1005" spans="1:50" s="35" customFormat="1" ht="15" customHeight="1" x14ac:dyDescent="0.25">
      <c r="A1005" s="25"/>
      <c r="B1005" s="25"/>
      <c r="C1005" s="331" t="s">
        <v>1371</v>
      </c>
      <c r="D1005" s="331"/>
      <c r="E1005" s="331"/>
      <c r="F1005" s="331"/>
      <c r="G1005" s="331"/>
      <c r="H1005" s="330" t="s">
        <v>1406</v>
      </c>
      <c r="I1005" s="330"/>
      <c r="J1005" s="330"/>
      <c r="K1005" s="330"/>
      <c r="L1005" s="330"/>
      <c r="M1005" s="330"/>
      <c r="N1005" s="330"/>
      <c r="O1005" s="330"/>
      <c r="P1005" s="330"/>
      <c r="Q1005" s="330"/>
      <c r="R1005" s="330"/>
      <c r="S1005" s="330"/>
      <c r="T1005" s="330"/>
      <c r="U1005" s="330"/>
      <c r="V1005" s="330"/>
      <c r="W1005" s="330"/>
      <c r="X1005" s="330"/>
      <c r="Y1005" s="330"/>
      <c r="Z1005" s="330"/>
      <c r="AA1005" s="330"/>
      <c r="AB1005" s="330" t="s">
        <v>1146</v>
      </c>
      <c r="AC1005" s="330"/>
      <c r="AD1005" s="330"/>
      <c r="AE1005" s="330"/>
      <c r="AF1005" s="330"/>
      <c r="AG1005" s="330"/>
      <c r="AH1005" s="330" t="s">
        <v>1424</v>
      </c>
      <c r="AI1005" s="330"/>
      <c r="AJ1005" s="330"/>
      <c r="AK1005" s="330"/>
      <c r="AL1005" s="330"/>
      <c r="AM1005" s="330"/>
      <c r="AN1005" s="328">
        <f>VLOOKUP("00-00180847",'Выгрузка из 1С'!$B$4:$K$2000,10,FALSE)</f>
        <v>29690</v>
      </c>
      <c r="AO1005" s="328"/>
      <c r="AP1005" s="328"/>
      <c r="AQ1005" s="328"/>
      <c r="AR1005" s="328"/>
      <c r="AS1005" s="328"/>
      <c r="AT1005" s="25"/>
      <c r="AU1005" s="25"/>
      <c r="AV1005" s="25"/>
      <c r="AW1005" s="25"/>
      <c r="AX1005" s="25"/>
    </row>
    <row r="1006" spans="1:50" s="35" customFormat="1" ht="15" customHeight="1" x14ac:dyDescent="0.25">
      <c r="A1006" s="25"/>
      <c r="B1006" s="25"/>
      <c r="C1006" s="331" t="s">
        <v>1372</v>
      </c>
      <c r="D1006" s="331"/>
      <c r="E1006" s="331"/>
      <c r="F1006" s="331"/>
      <c r="G1006" s="331"/>
      <c r="H1006" s="330" t="s">
        <v>1407</v>
      </c>
      <c r="I1006" s="330"/>
      <c r="J1006" s="330"/>
      <c r="K1006" s="330"/>
      <c r="L1006" s="330"/>
      <c r="M1006" s="330"/>
      <c r="N1006" s="330"/>
      <c r="O1006" s="330"/>
      <c r="P1006" s="330"/>
      <c r="Q1006" s="330"/>
      <c r="R1006" s="330"/>
      <c r="S1006" s="330"/>
      <c r="T1006" s="330"/>
      <c r="U1006" s="330"/>
      <c r="V1006" s="330"/>
      <c r="W1006" s="330"/>
      <c r="X1006" s="330"/>
      <c r="Y1006" s="330"/>
      <c r="Z1006" s="330"/>
      <c r="AA1006" s="330"/>
      <c r="AB1006" s="330" t="s">
        <v>1146</v>
      </c>
      <c r="AC1006" s="330"/>
      <c r="AD1006" s="330"/>
      <c r="AE1006" s="330"/>
      <c r="AF1006" s="330"/>
      <c r="AG1006" s="330"/>
      <c r="AH1006" s="330" t="s">
        <v>1424</v>
      </c>
      <c r="AI1006" s="330"/>
      <c r="AJ1006" s="330"/>
      <c r="AK1006" s="330"/>
      <c r="AL1006" s="330"/>
      <c r="AM1006" s="330"/>
      <c r="AN1006" s="328">
        <f>VLOOKUP("00-00196088",'Выгрузка из 1С'!$B$4:$K$2000,10,FALSE)</f>
        <v>34081</v>
      </c>
      <c r="AO1006" s="328"/>
      <c r="AP1006" s="328"/>
      <c r="AQ1006" s="328"/>
      <c r="AR1006" s="328"/>
      <c r="AS1006" s="328"/>
      <c r="AT1006" s="25"/>
      <c r="AU1006" s="25"/>
      <c r="AV1006" s="25"/>
      <c r="AW1006" s="25"/>
      <c r="AX1006" s="25"/>
    </row>
    <row r="1007" spans="1:50" s="35" customFormat="1" ht="15" customHeight="1" x14ac:dyDescent="0.25">
      <c r="A1007" s="25"/>
      <c r="B1007" s="25"/>
      <c r="C1007" s="331" t="s">
        <v>1373</v>
      </c>
      <c r="D1007" s="331"/>
      <c r="E1007" s="331"/>
      <c r="F1007" s="331"/>
      <c r="G1007" s="331"/>
      <c r="H1007" s="330" t="s">
        <v>1408</v>
      </c>
      <c r="I1007" s="330"/>
      <c r="J1007" s="330"/>
      <c r="K1007" s="330"/>
      <c r="L1007" s="330"/>
      <c r="M1007" s="330"/>
      <c r="N1007" s="330"/>
      <c r="O1007" s="330"/>
      <c r="P1007" s="330"/>
      <c r="Q1007" s="330"/>
      <c r="R1007" s="330"/>
      <c r="S1007" s="330"/>
      <c r="T1007" s="330"/>
      <c r="U1007" s="330"/>
      <c r="V1007" s="330"/>
      <c r="W1007" s="330"/>
      <c r="X1007" s="330"/>
      <c r="Y1007" s="330"/>
      <c r="Z1007" s="330"/>
      <c r="AA1007" s="330"/>
      <c r="AB1007" s="330" t="s">
        <v>1348</v>
      </c>
      <c r="AC1007" s="330"/>
      <c r="AD1007" s="330"/>
      <c r="AE1007" s="330"/>
      <c r="AF1007" s="330"/>
      <c r="AG1007" s="330"/>
      <c r="AH1007" s="330" t="s">
        <v>1426</v>
      </c>
      <c r="AI1007" s="330"/>
      <c r="AJ1007" s="330"/>
      <c r="AK1007" s="330"/>
      <c r="AL1007" s="330"/>
      <c r="AM1007" s="330"/>
      <c r="AN1007" s="328">
        <f>VLOOKUP("УТ-00100023",'Выгрузка из 1С'!$B$4:$K$2000,10,FALSE)</f>
        <v>19770</v>
      </c>
      <c r="AO1007" s="328"/>
      <c r="AP1007" s="328"/>
      <c r="AQ1007" s="328"/>
      <c r="AR1007" s="328"/>
      <c r="AS1007" s="328"/>
      <c r="AT1007" s="25"/>
      <c r="AU1007" s="25"/>
      <c r="AV1007" s="25"/>
      <c r="AW1007" s="25"/>
      <c r="AX1007" s="25"/>
    </row>
    <row r="1008" spans="1:50" s="35" customFormat="1" ht="15" customHeight="1" x14ac:dyDescent="0.25">
      <c r="A1008" s="25"/>
      <c r="B1008" s="25"/>
      <c r="C1008" s="331" t="s">
        <v>1374</v>
      </c>
      <c r="D1008" s="331"/>
      <c r="E1008" s="331"/>
      <c r="F1008" s="331"/>
      <c r="G1008" s="331"/>
      <c r="H1008" s="330" t="s">
        <v>1409</v>
      </c>
      <c r="I1008" s="330"/>
      <c r="J1008" s="330"/>
      <c r="K1008" s="330"/>
      <c r="L1008" s="330"/>
      <c r="M1008" s="330"/>
      <c r="N1008" s="330"/>
      <c r="O1008" s="330"/>
      <c r="P1008" s="330"/>
      <c r="Q1008" s="330"/>
      <c r="R1008" s="330"/>
      <c r="S1008" s="330"/>
      <c r="T1008" s="330"/>
      <c r="U1008" s="330"/>
      <c r="V1008" s="330"/>
      <c r="W1008" s="330"/>
      <c r="X1008" s="330"/>
      <c r="Y1008" s="330"/>
      <c r="Z1008" s="330"/>
      <c r="AA1008" s="330"/>
      <c r="AB1008" s="330" t="s">
        <v>1348</v>
      </c>
      <c r="AC1008" s="330"/>
      <c r="AD1008" s="330"/>
      <c r="AE1008" s="330"/>
      <c r="AF1008" s="330"/>
      <c r="AG1008" s="330"/>
      <c r="AH1008" s="330" t="s">
        <v>1426</v>
      </c>
      <c r="AI1008" s="330"/>
      <c r="AJ1008" s="330"/>
      <c r="AK1008" s="330"/>
      <c r="AL1008" s="330"/>
      <c r="AM1008" s="330"/>
      <c r="AN1008" s="328">
        <f>VLOOKUP("УТ-00099929",'Выгрузка из 1С'!$B$4:$K$2000,10,FALSE)</f>
        <v>21054</v>
      </c>
      <c r="AO1008" s="328"/>
      <c r="AP1008" s="328"/>
      <c r="AQ1008" s="328"/>
      <c r="AR1008" s="328"/>
      <c r="AS1008" s="328"/>
      <c r="AT1008" s="25"/>
      <c r="AU1008" s="25"/>
      <c r="AV1008" s="25"/>
      <c r="AW1008" s="25"/>
      <c r="AX1008" s="25"/>
    </row>
    <row r="1009" spans="1:50" s="35" customFormat="1" ht="15" customHeight="1" x14ac:dyDescent="0.25">
      <c r="A1009" s="25"/>
      <c r="B1009" s="25"/>
      <c r="C1009" s="331" t="s">
        <v>1375</v>
      </c>
      <c r="D1009" s="331"/>
      <c r="E1009" s="331"/>
      <c r="F1009" s="331"/>
      <c r="G1009" s="331"/>
      <c r="H1009" s="330" t="s">
        <v>1410</v>
      </c>
      <c r="I1009" s="330"/>
      <c r="J1009" s="330"/>
      <c r="K1009" s="330"/>
      <c r="L1009" s="330"/>
      <c r="M1009" s="330"/>
      <c r="N1009" s="330"/>
      <c r="O1009" s="330"/>
      <c r="P1009" s="330"/>
      <c r="Q1009" s="330"/>
      <c r="R1009" s="330"/>
      <c r="S1009" s="330"/>
      <c r="T1009" s="330"/>
      <c r="U1009" s="330"/>
      <c r="V1009" s="330"/>
      <c r="W1009" s="330"/>
      <c r="X1009" s="330"/>
      <c r="Y1009" s="330"/>
      <c r="Z1009" s="330"/>
      <c r="AA1009" s="330"/>
      <c r="AB1009" s="330" t="s">
        <v>1348</v>
      </c>
      <c r="AC1009" s="330"/>
      <c r="AD1009" s="330"/>
      <c r="AE1009" s="330"/>
      <c r="AF1009" s="330"/>
      <c r="AG1009" s="330"/>
      <c r="AH1009" s="330" t="s">
        <v>1272</v>
      </c>
      <c r="AI1009" s="330"/>
      <c r="AJ1009" s="330"/>
      <c r="AK1009" s="330"/>
      <c r="AL1009" s="330"/>
      <c r="AM1009" s="330"/>
      <c r="AN1009" s="328">
        <f>VLOOKUP("00-00181001",'Выгрузка из 1С'!$B$4:$K$2000,10,FALSE)</f>
        <v>72102</v>
      </c>
      <c r="AO1009" s="328"/>
      <c r="AP1009" s="328"/>
      <c r="AQ1009" s="328"/>
      <c r="AR1009" s="328"/>
      <c r="AS1009" s="328"/>
      <c r="AT1009" s="25"/>
      <c r="AU1009" s="25"/>
      <c r="AV1009" s="25"/>
      <c r="AW1009" s="25"/>
      <c r="AX1009" s="25"/>
    </row>
    <row r="1010" spans="1:50" s="35" customFormat="1" ht="15" customHeight="1" x14ac:dyDescent="0.25">
      <c r="A1010" s="25"/>
      <c r="B1010" s="25"/>
      <c r="C1010" s="331" t="s">
        <v>1376</v>
      </c>
      <c r="D1010" s="331"/>
      <c r="E1010" s="331"/>
      <c r="F1010" s="331"/>
      <c r="G1010" s="331"/>
      <c r="H1010" s="330" t="s">
        <v>1411</v>
      </c>
      <c r="I1010" s="330"/>
      <c r="J1010" s="330"/>
      <c r="K1010" s="330"/>
      <c r="L1010" s="330"/>
      <c r="M1010" s="330"/>
      <c r="N1010" s="330"/>
      <c r="O1010" s="330"/>
      <c r="P1010" s="330"/>
      <c r="Q1010" s="330"/>
      <c r="R1010" s="330"/>
      <c r="S1010" s="330"/>
      <c r="T1010" s="330"/>
      <c r="U1010" s="330"/>
      <c r="V1010" s="330"/>
      <c r="W1010" s="330"/>
      <c r="X1010" s="330"/>
      <c r="Y1010" s="330"/>
      <c r="Z1010" s="330"/>
      <c r="AA1010" s="330"/>
      <c r="AB1010" s="330" t="s">
        <v>1348</v>
      </c>
      <c r="AC1010" s="330"/>
      <c r="AD1010" s="330"/>
      <c r="AE1010" s="330"/>
      <c r="AF1010" s="330"/>
      <c r="AG1010" s="330"/>
      <c r="AH1010" s="330" t="s">
        <v>1272</v>
      </c>
      <c r="AI1010" s="330"/>
      <c r="AJ1010" s="330"/>
      <c r="AK1010" s="330"/>
      <c r="AL1010" s="330"/>
      <c r="AM1010" s="330"/>
      <c r="AN1010" s="328">
        <f>VLOOKUP("00-00181002",'Выгрузка из 1С'!$B$4:$K$2000,10,FALSE)</f>
        <v>79288</v>
      </c>
      <c r="AO1010" s="328"/>
      <c r="AP1010" s="328"/>
      <c r="AQ1010" s="328"/>
      <c r="AR1010" s="328"/>
      <c r="AS1010" s="328"/>
      <c r="AT1010" s="25"/>
      <c r="AU1010" s="25"/>
      <c r="AV1010" s="25"/>
      <c r="AW1010" s="25"/>
      <c r="AX1010" s="25"/>
    </row>
    <row r="1011" spans="1:50" s="35" customFormat="1" ht="15" customHeight="1" x14ac:dyDescent="0.25">
      <c r="A1011" s="25"/>
      <c r="B1011" s="25"/>
      <c r="C1011" s="331" t="s">
        <v>1377</v>
      </c>
      <c r="D1011" s="331"/>
      <c r="E1011" s="331"/>
      <c r="F1011" s="331"/>
      <c r="G1011" s="331"/>
      <c r="H1011" s="330" t="s">
        <v>1412</v>
      </c>
      <c r="I1011" s="330"/>
      <c r="J1011" s="330"/>
      <c r="K1011" s="330"/>
      <c r="L1011" s="330"/>
      <c r="M1011" s="330"/>
      <c r="N1011" s="330"/>
      <c r="O1011" s="330"/>
      <c r="P1011" s="330"/>
      <c r="Q1011" s="330"/>
      <c r="R1011" s="330"/>
      <c r="S1011" s="330"/>
      <c r="T1011" s="330"/>
      <c r="U1011" s="330"/>
      <c r="V1011" s="330"/>
      <c r="W1011" s="330"/>
      <c r="X1011" s="330"/>
      <c r="Y1011" s="330"/>
      <c r="Z1011" s="330"/>
      <c r="AA1011" s="330"/>
      <c r="AB1011" s="330" t="s">
        <v>1348</v>
      </c>
      <c r="AC1011" s="330"/>
      <c r="AD1011" s="330"/>
      <c r="AE1011" s="330"/>
      <c r="AF1011" s="330"/>
      <c r="AG1011" s="330"/>
      <c r="AH1011" s="330" t="s">
        <v>1426</v>
      </c>
      <c r="AI1011" s="330"/>
      <c r="AJ1011" s="330"/>
      <c r="AK1011" s="330"/>
      <c r="AL1011" s="330"/>
      <c r="AM1011" s="330"/>
      <c r="AN1011" s="328">
        <f>VLOOKUP("00-00181004",'Выгрузка из 1С'!$B$4:$K$2000,10,FALSE)</f>
        <v>34932</v>
      </c>
      <c r="AO1011" s="328"/>
      <c r="AP1011" s="328"/>
      <c r="AQ1011" s="328"/>
      <c r="AR1011" s="328"/>
      <c r="AS1011" s="328"/>
      <c r="AT1011" s="25"/>
      <c r="AU1011" s="25"/>
      <c r="AV1011" s="25"/>
      <c r="AW1011" s="25"/>
      <c r="AX1011" s="25"/>
    </row>
    <row r="1012" spans="1:50" s="35" customFormat="1" ht="15" customHeight="1" x14ac:dyDescent="0.25">
      <c r="A1012" s="25"/>
      <c r="B1012" s="25"/>
      <c r="C1012" s="331" t="s">
        <v>1378</v>
      </c>
      <c r="D1012" s="331"/>
      <c r="E1012" s="331"/>
      <c r="F1012" s="331"/>
      <c r="G1012" s="331"/>
      <c r="H1012" s="330" t="s">
        <v>1413</v>
      </c>
      <c r="I1012" s="330"/>
      <c r="J1012" s="330"/>
      <c r="K1012" s="330"/>
      <c r="L1012" s="330"/>
      <c r="M1012" s="330"/>
      <c r="N1012" s="330"/>
      <c r="O1012" s="330"/>
      <c r="P1012" s="330"/>
      <c r="Q1012" s="330"/>
      <c r="R1012" s="330"/>
      <c r="S1012" s="330"/>
      <c r="T1012" s="330"/>
      <c r="U1012" s="330"/>
      <c r="V1012" s="330"/>
      <c r="W1012" s="330"/>
      <c r="X1012" s="330"/>
      <c r="Y1012" s="330"/>
      <c r="Z1012" s="330"/>
      <c r="AA1012" s="330"/>
      <c r="AB1012" s="330" t="s">
        <v>1348</v>
      </c>
      <c r="AC1012" s="330"/>
      <c r="AD1012" s="330"/>
      <c r="AE1012" s="330"/>
      <c r="AF1012" s="330"/>
      <c r="AG1012" s="330"/>
      <c r="AH1012" s="330" t="s">
        <v>1426</v>
      </c>
      <c r="AI1012" s="330"/>
      <c r="AJ1012" s="330"/>
      <c r="AK1012" s="330"/>
      <c r="AL1012" s="330"/>
      <c r="AM1012" s="330"/>
      <c r="AN1012" s="328">
        <f>VLOOKUP("00-00181003",'Выгрузка из 1С'!$B$4:$K$2000,10,FALSE)</f>
        <v>38427</v>
      </c>
      <c r="AO1012" s="328"/>
      <c r="AP1012" s="328"/>
      <c r="AQ1012" s="328"/>
      <c r="AR1012" s="328"/>
      <c r="AS1012" s="328"/>
      <c r="AT1012" s="25"/>
      <c r="AU1012" s="25"/>
      <c r="AV1012" s="25"/>
      <c r="AW1012" s="25"/>
      <c r="AX1012" s="25"/>
    </row>
    <row r="1013" spans="1:50" s="35" customFormat="1" ht="15" customHeight="1" x14ac:dyDescent="0.25">
      <c r="A1013" s="25"/>
      <c r="B1013" s="25"/>
      <c r="C1013" s="331" t="s">
        <v>1379</v>
      </c>
      <c r="D1013" s="331"/>
      <c r="E1013" s="331"/>
      <c r="F1013" s="331"/>
      <c r="G1013" s="331"/>
      <c r="H1013" s="330" t="s">
        <v>1414</v>
      </c>
      <c r="I1013" s="330"/>
      <c r="J1013" s="330"/>
      <c r="K1013" s="330"/>
      <c r="L1013" s="330"/>
      <c r="M1013" s="330"/>
      <c r="N1013" s="330"/>
      <c r="O1013" s="330"/>
      <c r="P1013" s="330"/>
      <c r="Q1013" s="330"/>
      <c r="R1013" s="330"/>
      <c r="S1013" s="330"/>
      <c r="T1013" s="330"/>
      <c r="U1013" s="330"/>
      <c r="V1013" s="330"/>
      <c r="W1013" s="330"/>
      <c r="X1013" s="330"/>
      <c r="Y1013" s="330"/>
      <c r="Z1013" s="330"/>
      <c r="AA1013" s="330"/>
      <c r="AB1013" s="330" t="s">
        <v>1348</v>
      </c>
      <c r="AC1013" s="330"/>
      <c r="AD1013" s="330"/>
      <c r="AE1013" s="330"/>
      <c r="AF1013" s="330"/>
      <c r="AG1013" s="330"/>
      <c r="AH1013" s="330" t="s">
        <v>1426</v>
      </c>
      <c r="AI1013" s="330"/>
      <c r="AJ1013" s="330"/>
      <c r="AK1013" s="330"/>
      <c r="AL1013" s="330"/>
      <c r="AM1013" s="330"/>
      <c r="AN1013" s="328">
        <f>VLOOKUP("00-00196090",'Выгрузка из 1С'!$B$4:$K$2000,10,FALSE)</f>
        <v>38613</v>
      </c>
      <c r="AO1013" s="328"/>
      <c r="AP1013" s="328"/>
      <c r="AQ1013" s="328"/>
      <c r="AR1013" s="328"/>
      <c r="AS1013" s="328"/>
      <c r="AT1013" s="25"/>
      <c r="AU1013" s="25"/>
      <c r="AV1013" s="25"/>
      <c r="AW1013" s="25"/>
      <c r="AX1013" s="25"/>
    </row>
    <row r="1014" spans="1:50" s="35" customFormat="1" ht="15" customHeight="1" x14ac:dyDescent="0.25">
      <c r="A1014" s="25"/>
      <c r="B1014" s="25"/>
      <c r="C1014" s="331" t="s">
        <v>1380</v>
      </c>
      <c r="D1014" s="331"/>
      <c r="E1014" s="331"/>
      <c r="F1014" s="331"/>
      <c r="G1014" s="331"/>
      <c r="H1014" s="330" t="s">
        <v>1415</v>
      </c>
      <c r="I1014" s="330"/>
      <c r="J1014" s="330"/>
      <c r="K1014" s="330"/>
      <c r="L1014" s="330"/>
      <c r="M1014" s="330"/>
      <c r="N1014" s="330"/>
      <c r="O1014" s="330"/>
      <c r="P1014" s="330"/>
      <c r="Q1014" s="330"/>
      <c r="R1014" s="330"/>
      <c r="S1014" s="330"/>
      <c r="T1014" s="330"/>
      <c r="U1014" s="330"/>
      <c r="V1014" s="330"/>
      <c r="W1014" s="330"/>
      <c r="X1014" s="330"/>
      <c r="Y1014" s="330"/>
      <c r="Z1014" s="330"/>
      <c r="AA1014" s="330"/>
      <c r="AB1014" s="330" t="s">
        <v>1350</v>
      </c>
      <c r="AC1014" s="330"/>
      <c r="AD1014" s="330"/>
      <c r="AE1014" s="330"/>
      <c r="AF1014" s="330"/>
      <c r="AG1014" s="330"/>
      <c r="AH1014" s="330" t="s">
        <v>1272</v>
      </c>
      <c r="AI1014" s="330"/>
      <c r="AJ1014" s="330"/>
      <c r="AK1014" s="330"/>
      <c r="AL1014" s="330"/>
      <c r="AM1014" s="330"/>
      <c r="AN1014" s="328">
        <f>VLOOKUP("00-00180851",'Выгрузка из 1С'!$B$4:$K$2000,10,FALSE)</f>
        <v>43104</v>
      </c>
      <c r="AO1014" s="328"/>
      <c r="AP1014" s="328"/>
      <c r="AQ1014" s="328"/>
      <c r="AR1014" s="328"/>
      <c r="AS1014" s="328"/>
      <c r="AT1014" s="25"/>
      <c r="AU1014" s="25"/>
      <c r="AV1014" s="25"/>
      <c r="AW1014" s="25"/>
      <c r="AX1014" s="25"/>
    </row>
    <row r="1015" spans="1:50" s="35" customFormat="1" ht="15" customHeight="1" x14ac:dyDescent="0.25">
      <c r="A1015" s="25"/>
      <c r="B1015" s="25"/>
      <c r="C1015" s="331" t="s">
        <v>1381</v>
      </c>
      <c r="D1015" s="331"/>
      <c r="E1015" s="331"/>
      <c r="F1015" s="331"/>
      <c r="G1015" s="331"/>
      <c r="H1015" s="330" t="s">
        <v>1416</v>
      </c>
      <c r="I1015" s="330"/>
      <c r="J1015" s="330"/>
      <c r="K1015" s="330"/>
      <c r="L1015" s="330"/>
      <c r="M1015" s="330"/>
      <c r="N1015" s="330"/>
      <c r="O1015" s="330"/>
      <c r="P1015" s="330"/>
      <c r="Q1015" s="330"/>
      <c r="R1015" s="330"/>
      <c r="S1015" s="330"/>
      <c r="T1015" s="330"/>
      <c r="U1015" s="330"/>
      <c r="V1015" s="330"/>
      <c r="W1015" s="330"/>
      <c r="X1015" s="330"/>
      <c r="Y1015" s="330"/>
      <c r="Z1015" s="330"/>
      <c r="AA1015" s="330"/>
      <c r="AB1015" s="330" t="s">
        <v>1350</v>
      </c>
      <c r="AC1015" s="330"/>
      <c r="AD1015" s="330"/>
      <c r="AE1015" s="330"/>
      <c r="AF1015" s="330"/>
      <c r="AG1015" s="330"/>
      <c r="AH1015" s="330" t="s">
        <v>1272</v>
      </c>
      <c r="AI1015" s="330"/>
      <c r="AJ1015" s="330"/>
      <c r="AK1015" s="330"/>
      <c r="AL1015" s="330"/>
      <c r="AM1015" s="330"/>
      <c r="AN1015" s="328">
        <f>VLOOKUP("00-00180852",'Выгрузка из 1С'!$B$4:$K$2000,10,FALSE)</f>
        <v>44726</v>
      </c>
      <c r="AO1015" s="328"/>
      <c r="AP1015" s="328"/>
      <c r="AQ1015" s="328"/>
      <c r="AR1015" s="328"/>
      <c r="AS1015" s="328"/>
      <c r="AT1015" s="25"/>
      <c r="AU1015" s="25"/>
      <c r="AV1015" s="25"/>
      <c r="AW1015" s="25"/>
      <c r="AX1015" s="25"/>
    </row>
    <row r="1016" spans="1:50" s="35" customFormat="1" ht="15" customHeight="1" x14ac:dyDescent="0.25">
      <c r="A1016" s="25"/>
      <c r="B1016" s="25"/>
      <c r="C1016" s="331" t="s">
        <v>1382</v>
      </c>
      <c r="D1016" s="331"/>
      <c r="E1016" s="331"/>
      <c r="F1016" s="331"/>
      <c r="G1016" s="331"/>
      <c r="H1016" s="330" t="s">
        <v>1417</v>
      </c>
      <c r="I1016" s="330"/>
      <c r="J1016" s="330"/>
      <c r="K1016" s="330"/>
      <c r="L1016" s="330"/>
      <c r="M1016" s="330"/>
      <c r="N1016" s="330"/>
      <c r="O1016" s="330"/>
      <c r="P1016" s="330"/>
      <c r="Q1016" s="330"/>
      <c r="R1016" s="330"/>
      <c r="S1016" s="330"/>
      <c r="T1016" s="330"/>
      <c r="U1016" s="330"/>
      <c r="V1016" s="330"/>
      <c r="W1016" s="330"/>
      <c r="X1016" s="330"/>
      <c r="Y1016" s="330"/>
      <c r="Z1016" s="330"/>
      <c r="AA1016" s="330"/>
      <c r="AB1016" s="330" t="s">
        <v>1350</v>
      </c>
      <c r="AC1016" s="330"/>
      <c r="AD1016" s="330"/>
      <c r="AE1016" s="330"/>
      <c r="AF1016" s="330"/>
      <c r="AG1016" s="330"/>
      <c r="AH1016" s="330" t="s">
        <v>1272</v>
      </c>
      <c r="AI1016" s="330"/>
      <c r="AJ1016" s="330"/>
      <c r="AK1016" s="330"/>
      <c r="AL1016" s="330"/>
      <c r="AM1016" s="330"/>
      <c r="AN1016" s="328">
        <f>VLOOKUP("00-00180854",'Выгрузка из 1С'!$B$4:$K$2000,10,FALSE)</f>
        <v>74576</v>
      </c>
      <c r="AO1016" s="328"/>
      <c r="AP1016" s="328"/>
      <c r="AQ1016" s="328"/>
      <c r="AR1016" s="328"/>
      <c r="AS1016" s="328"/>
      <c r="AT1016" s="25"/>
      <c r="AU1016" s="25"/>
      <c r="AV1016" s="25"/>
      <c r="AW1016" s="25"/>
      <c r="AX1016" s="25"/>
    </row>
    <row r="1017" spans="1:50" s="35" customFormat="1" ht="15" customHeight="1" x14ac:dyDescent="0.25">
      <c r="A1017" s="25"/>
      <c r="B1017" s="25"/>
      <c r="C1017" s="331" t="s">
        <v>1383</v>
      </c>
      <c r="D1017" s="331"/>
      <c r="E1017" s="331"/>
      <c r="F1017" s="331"/>
      <c r="G1017" s="331"/>
      <c r="H1017" s="330" t="s">
        <v>1418</v>
      </c>
      <c r="I1017" s="330"/>
      <c r="J1017" s="330"/>
      <c r="K1017" s="330"/>
      <c r="L1017" s="330"/>
      <c r="M1017" s="330"/>
      <c r="N1017" s="330"/>
      <c r="O1017" s="330"/>
      <c r="P1017" s="330"/>
      <c r="Q1017" s="330"/>
      <c r="R1017" s="330"/>
      <c r="S1017" s="330"/>
      <c r="T1017" s="330"/>
      <c r="U1017" s="330"/>
      <c r="V1017" s="330"/>
      <c r="W1017" s="330"/>
      <c r="X1017" s="330"/>
      <c r="Y1017" s="330"/>
      <c r="Z1017" s="330"/>
      <c r="AA1017" s="330"/>
      <c r="AB1017" s="330" t="s">
        <v>1350</v>
      </c>
      <c r="AC1017" s="330"/>
      <c r="AD1017" s="330"/>
      <c r="AE1017" s="330"/>
      <c r="AF1017" s="330"/>
      <c r="AG1017" s="330"/>
      <c r="AH1017" s="330" t="s">
        <v>1272</v>
      </c>
      <c r="AI1017" s="330"/>
      <c r="AJ1017" s="330"/>
      <c r="AK1017" s="330"/>
      <c r="AL1017" s="330"/>
      <c r="AM1017" s="330"/>
      <c r="AN1017" s="328">
        <f>VLOOKUP("00-00180853",'Выгрузка из 1С'!$B$4:$K$2000,10,FALSE)</f>
        <v>82033</v>
      </c>
      <c r="AO1017" s="328"/>
      <c r="AP1017" s="328"/>
      <c r="AQ1017" s="328"/>
      <c r="AR1017" s="328"/>
      <c r="AS1017" s="328"/>
      <c r="AT1017" s="25"/>
      <c r="AU1017" s="25"/>
      <c r="AV1017" s="25"/>
      <c r="AW1017" s="25"/>
      <c r="AX1017" s="25"/>
    </row>
    <row r="1018" spans="1:50" s="35" customFormat="1" ht="15" customHeight="1" x14ac:dyDescent="0.25">
      <c r="A1018" s="25"/>
      <c r="B1018" s="25"/>
      <c r="C1018" s="331" t="s">
        <v>1384</v>
      </c>
      <c r="D1018" s="331"/>
      <c r="E1018" s="331"/>
      <c r="F1018" s="331"/>
      <c r="G1018" s="331"/>
      <c r="H1018" s="330" t="s">
        <v>1419</v>
      </c>
      <c r="I1018" s="330"/>
      <c r="J1018" s="330"/>
      <c r="K1018" s="330"/>
      <c r="L1018" s="330"/>
      <c r="M1018" s="330"/>
      <c r="N1018" s="330"/>
      <c r="O1018" s="330"/>
      <c r="P1018" s="330"/>
      <c r="Q1018" s="330"/>
      <c r="R1018" s="330"/>
      <c r="S1018" s="330"/>
      <c r="T1018" s="330"/>
      <c r="U1018" s="330"/>
      <c r="V1018" s="330"/>
      <c r="W1018" s="330"/>
      <c r="X1018" s="330"/>
      <c r="Y1018" s="330"/>
      <c r="Z1018" s="330"/>
      <c r="AA1018" s="330"/>
      <c r="AB1018" s="330" t="s">
        <v>1350</v>
      </c>
      <c r="AC1018" s="330"/>
      <c r="AD1018" s="330"/>
      <c r="AE1018" s="330"/>
      <c r="AF1018" s="330"/>
      <c r="AG1018" s="330"/>
      <c r="AH1018" s="330" t="s">
        <v>1272</v>
      </c>
      <c r="AI1018" s="330"/>
      <c r="AJ1018" s="330"/>
      <c r="AK1018" s="330"/>
      <c r="AL1018" s="330"/>
      <c r="AM1018" s="330"/>
      <c r="AN1018" s="328">
        <f>VLOOKUP("00-00196092",'Выгрузка из 1С'!$B$4:$K$2000,10,FALSE)</f>
        <v>78252</v>
      </c>
      <c r="AO1018" s="328"/>
      <c r="AP1018" s="328"/>
      <c r="AQ1018" s="328"/>
      <c r="AR1018" s="328"/>
      <c r="AS1018" s="328"/>
      <c r="AT1018" s="25"/>
      <c r="AU1018" s="25"/>
      <c r="AV1018" s="25"/>
      <c r="AW1018" s="25"/>
      <c r="AX1018" s="25"/>
    </row>
    <row r="1019" spans="1:50" s="35" customFormat="1" ht="15" customHeight="1" x14ac:dyDescent="0.25">
      <c r="A1019" s="25"/>
      <c r="B1019" s="25"/>
      <c r="C1019" s="331" t="s">
        <v>1385</v>
      </c>
      <c r="D1019" s="331"/>
      <c r="E1019" s="331"/>
      <c r="F1019" s="331"/>
      <c r="G1019" s="331"/>
      <c r="H1019" s="330" t="s">
        <v>1420</v>
      </c>
      <c r="I1019" s="330"/>
      <c r="J1019" s="330"/>
      <c r="K1019" s="330"/>
      <c r="L1019" s="330"/>
      <c r="M1019" s="330"/>
      <c r="N1019" s="330"/>
      <c r="O1019" s="330"/>
      <c r="P1019" s="330"/>
      <c r="Q1019" s="330"/>
      <c r="R1019" s="330"/>
      <c r="S1019" s="330"/>
      <c r="T1019" s="330"/>
      <c r="U1019" s="330"/>
      <c r="V1019" s="330"/>
      <c r="W1019" s="330"/>
      <c r="X1019" s="330"/>
      <c r="Y1019" s="330"/>
      <c r="Z1019" s="330"/>
      <c r="AA1019" s="330"/>
      <c r="AB1019" s="330" t="s">
        <v>1273</v>
      </c>
      <c r="AC1019" s="330"/>
      <c r="AD1019" s="330"/>
      <c r="AE1019" s="330"/>
      <c r="AF1019" s="330"/>
      <c r="AG1019" s="330"/>
      <c r="AH1019" s="330" t="s">
        <v>1427</v>
      </c>
      <c r="AI1019" s="330"/>
      <c r="AJ1019" s="330"/>
      <c r="AK1019" s="330"/>
      <c r="AL1019" s="330"/>
      <c r="AM1019" s="330"/>
      <c r="AN1019" s="328">
        <f>VLOOKUP("00-00180857",'Выгрузка из 1С'!$B$4:$K$2000,10,FALSE)</f>
        <v>93792</v>
      </c>
      <c r="AO1019" s="328"/>
      <c r="AP1019" s="328"/>
      <c r="AQ1019" s="328"/>
      <c r="AR1019" s="328"/>
      <c r="AS1019" s="328"/>
      <c r="AT1019" s="25"/>
      <c r="AU1019" s="25"/>
      <c r="AV1019" s="25"/>
      <c r="AW1019" s="25"/>
      <c r="AX1019" s="25"/>
    </row>
    <row r="1020" spans="1:50" s="35" customFormat="1" ht="15" customHeight="1" x14ac:dyDescent="0.25">
      <c r="A1020" s="25"/>
      <c r="B1020" s="25"/>
      <c r="C1020" s="331" t="s">
        <v>1386</v>
      </c>
      <c r="D1020" s="331"/>
      <c r="E1020" s="331"/>
      <c r="F1020" s="331"/>
      <c r="G1020" s="331"/>
      <c r="H1020" s="330" t="s">
        <v>1421</v>
      </c>
      <c r="I1020" s="330"/>
      <c r="J1020" s="330"/>
      <c r="K1020" s="330"/>
      <c r="L1020" s="330"/>
      <c r="M1020" s="330"/>
      <c r="N1020" s="330"/>
      <c r="O1020" s="330"/>
      <c r="P1020" s="330"/>
      <c r="Q1020" s="330"/>
      <c r="R1020" s="330"/>
      <c r="S1020" s="330"/>
      <c r="T1020" s="330"/>
      <c r="U1020" s="330"/>
      <c r="V1020" s="330"/>
      <c r="W1020" s="330"/>
      <c r="X1020" s="330"/>
      <c r="Y1020" s="330"/>
      <c r="Z1020" s="330"/>
      <c r="AA1020" s="330"/>
      <c r="AB1020" s="330" t="s">
        <v>1273</v>
      </c>
      <c r="AC1020" s="330"/>
      <c r="AD1020" s="330"/>
      <c r="AE1020" s="330"/>
      <c r="AF1020" s="330"/>
      <c r="AG1020" s="330"/>
      <c r="AH1020" s="330" t="s">
        <v>1427</v>
      </c>
      <c r="AI1020" s="330"/>
      <c r="AJ1020" s="330"/>
      <c r="AK1020" s="330"/>
      <c r="AL1020" s="330"/>
      <c r="AM1020" s="330"/>
      <c r="AN1020" s="328">
        <f>VLOOKUP("00-00180858",'Выгрузка из 1С'!$B$4:$K$2000,10,FALSE)</f>
        <v>95498</v>
      </c>
      <c r="AO1020" s="328"/>
      <c r="AP1020" s="328"/>
      <c r="AQ1020" s="328"/>
      <c r="AR1020" s="328"/>
      <c r="AS1020" s="328"/>
      <c r="AT1020" s="25"/>
      <c r="AU1020" s="25"/>
      <c r="AV1020" s="25"/>
      <c r="AW1020" s="25"/>
      <c r="AX1020" s="25"/>
    </row>
    <row r="1021" spans="1:50" s="35" customFormat="1" ht="15" customHeight="1" x14ac:dyDescent="0.25">
      <c r="A1021" s="25"/>
      <c r="B1021" s="25"/>
      <c r="C1021" s="331" t="s">
        <v>1387</v>
      </c>
      <c r="D1021" s="331"/>
      <c r="E1021" s="331"/>
      <c r="F1021" s="331"/>
      <c r="G1021" s="331"/>
      <c r="H1021" s="330" t="s">
        <v>1422</v>
      </c>
      <c r="I1021" s="330"/>
      <c r="J1021" s="330"/>
      <c r="K1021" s="330"/>
      <c r="L1021" s="330"/>
      <c r="M1021" s="330"/>
      <c r="N1021" s="330"/>
      <c r="O1021" s="330"/>
      <c r="P1021" s="330"/>
      <c r="Q1021" s="330"/>
      <c r="R1021" s="330"/>
      <c r="S1021" s="330"/>
      <c r="T1021" s="330"/>
      <c r="U1021" s="330"/>
      <c r="V1021" s="330"/>
      <c r="W1021" s="330"/>
      <c r="X1021" s="330"/>
      <c r="Y1021" s="330"/>
      <c r="Z1021" s="330"/>
      <c r="AA1021" s="330"/>
      <c r="AB1021" s="330" t="s">
        <v>1273</v>
      </c>
      <c r="AC1021" s="330"/>
      <c r="AD1021" s="330"/>
      <c r="AE1021" s="330"/>
      <c r="AF1021" s="330"/>
      <c r="AG1021" s="330"/>
      <c r="AH1021" s="330" t="s">
        <v>1427</v>
      </c>
      <c r="AI1021" s="330"/>
      <c r="AJ1021" s="330"/>
      <c r="AK1021" s="330"/>
      <c r="AL1021" s="330"/>
      <c r="AM1021" s="330"/>
      <c r="AN1021" s="328">
        <f>VLOOKUP("00-00180860",'Выгрузка из 1С'!$B$4:$K$2000,10,FALSE)</f>
        <v>151482</v>
      </c>
      <c r="AO1021" s="328"/>
      <c r="AP1021" s="328"/>
      <c r="AQ1021" s="328"/>
      <c r="AR1021" s="328"/>
      <c r="AS1021" s="328"/>
      <c r="AT1021" s="25"/>
      <c r="AU1021" s="25"/>
      <c r="AV1021" s="25"/>
      <c r="AW1021" s="25"/>
      <c r="AX1021" s="25"/>
    </row>
    <row r="1022" spans="1:50" s="35" customFormat="1" ht="15" customHeight="1" x14ac:dyDescent="0.25">
      <c r="A1022" s="25"/>
      <c r="B1022" s="25"/>
      <c r="C1022" s="331" t="s">
        <v>1388</v>
      </c>
      <c r="D1022" s="331"/>
      <c r="E1022" s="331"/>
      <c r="F1022" s="331"/>
      <c r="G1022" s="331"/>
      <c r="H1022" s="330" t="s">
        <v>1423</v>
      </c>
      <c r="I1022" s="330"/>
      <c r="J1022" s="330"/>
      <c r="K1022" s="330"/>
      <c r="L1022" s="330"/>
      <c r="M1022" s="330"/>
      <c r="N1022" s="330"/>
      <c r="O1022" s="330"/>
      <c r="P1022" s="330"/>
      <c r="Q1022" s="330"/>
      <c r="R1022" s="330"/>
      <c r="S1022" s="330"/>
      <c r="T1022" s="330"/>
      <c r="U1022" s="330"/>
      <c r="V1022" s="330"/>
      <c r="W1022" s="330"/>
      <c r="X1022" s="330"/>
      <c r="Y1022" s="330"/>
      <c r="Z1022" s="330"/>
      <c r="AA1022" s="330"/>
      <c r="AB1022" s="330" t="s">
        <v>1273</v>
      </c>
      <c r="AC1022" s="330"/>
      <c r="AD1022" s="330"/>
      <c r="AE1022" s="330"/>
      <c r="AF1022" s="330"/>
      <c r="AG1022" s="330"/>
      <c r="AH1022" s="330" t="s">
        <v>1427</v>
      </c>
      <c r="AI1022" s="330"/>
      <c r="AJ1022" s="330"/>
      <c r="AK1022" s="330"/>
      <c r="AL1022" s="330"/>
      <c r="AM1022" s="330"/>
      <c r="AN1022" s="328">
        <f>VLOOKUP("00-00196094",'Выгрузка из 1С'!$B$4:$K$2000,10,FALSE)</f>
        <v>126425</v>
      </c>
      <c r="AO1022" s="328"/>
      <c r="AP1022" s="328"/>
      <c r="AQ1022" s="328"/>
      <c r="AR1022" s="328"/>
      <c r="AS1022" s="328"/>
      <c r="AT1022" s="25"/>
      <c r="AU1022" s="25"/>
      <c r="AV1022" s="25"/>
      <c r="AW1022" s="25"/>
      <c r="AX1022" s="25"/>
    </row>
    <row r="1023" spans="1:50" s="35" customFormat="1" ht="15" customHeight="1" x14ac:dyDescent="0.2">
      <c r="A1023" s="25"/>
      <c r="B1023" s="25"/>
      <c r="C1023" s="329" t="s">
        <v>1468</v>
      </c>
      <c r="D1023" s="329"/>
      <c r="E1023" s="329"/>
      <c r="F1023" s="329"/>
      <c r="G1023" s="329"/>
      <c r="H1023" s="329"/>
      <c r="I1023" s="329"/>
      <c r="J1023" s="329"/>
      <c r="K1023" s="329"/>
      <c r="L1023" s="329"/>
      <c r="M1023" s="329"/>
      <c r="N1023" s="329"/>
      <c r="O1023" s="329"/>
      <c r="P1023" s="329"/>
      <c r="Q1023" s="329"/>
      <c r="R1023" s="329"/>
      <c r="S1023" s="329"/>
      <c r="T1023" s="329"/>
      <c r="U1023" s="329"/>
      <c r="V1023" s="329"/>
      <c r="W1023" s="329"/>
      <c r="X1023" s="329"/>
      <c r="Y1023" s="329"/>
      <c r="Z1023" s="329"/>
      <c r="AA1023" s="329"/>
      <c r="AB1023" s="329"/>
      <c r="AC1023" s="329"/>
      <c r="AD1023" s="329"/>
      <c r="AE1023" s="329"/>
      <c r="AF1023" s="329"/>
      <c r="AG1023" s="329"/>
      <c r="AH1023" s="329"/>
      <c r="AI1023" s="329"/>
      <c r="AJ1023" s="329"/>
      <c r="AK1023" s="329"/>
      <c r="AL1023" s="329"/>
      <c r="AM1023" s="329"/>
      <c r="AN1023" s="329"/>
      <c r="AO1023" s="329"/>
      <c r="AP1023" s="329"/>
      <c r="AQ1023" s="329"/>
      <c r="AR1023" s="329"/>
      <c r="AS1023" s="329"/>
      <c r="AT1023" s="25"/>
      <c r="AU1023" s="25"/>
      <c r="AV1023" s="25"/>
      <c r="AW1023" s="25"/>
      <c r="AX1023" s="25"/>
    </row>
    <row r="1024" spans="1:50" s="35" customFormat="1" ht="15" customHeight="1" x14ac:dyDescent="0.25">
      <c r="A1024" s="25"/>
      <c r="B1024" s="25"/>
      <c r="C1024" s="331" t="s">
        <v>1428</v>
      </c>
      <c r="D1024" s="331"/>
      <c r="E1024" s="331"/>
      <c r="F1024" s="331"/>
      <c r="G1024" s="331"/>
      <c r="H1024" s="330" t="s">
        <v>1446</v>
      </c>
      <c r="I1024" s="330"/>
      <c r="J1024" s="330"/>
      <c r="K1024" s="330"/>
      <c r="L1024" s="330"/>
      <c r="M1024" s="330"/>
      <c r="N1024" s="330"/>
      <c r="O1024" s="330"/>
      <c r="P1024" s="330"/>
      <c r="Q1024" s="330"/>
      <c r="R1024" s="330"/>
      <c r="S1024" s="330"/>
      <c r="T1024" s="330"/>
      <c r="U1024" s="330"/>
      <c r="V1024" s="330"/>
      <c r="W1024" s="330"/>
      <c r="X1024" s="330"/>
      <c r="Y1024" s="330"/>
      <c r="Z1024" s="330"/>
      <c r="AA1024" s="330"/>
      <c r="AB1024" s="330" t="s">
        <v>1314</v>
      </c>
      <c r="AC1024" s="330"/>
      <c r="AD1024" s="330"/>
      <c r="AE1024" s="330"/>
      <c r="AF1024" s="330"/>
      <c r="AG1024" s="330"/>
      <c r="AH1024" s="330" t="s">
        <v>1273</v>
      </c>
      <c r="AI1024" s="330"/>
      <c r="AJ1024" s="330"/>
      <c r="AK1024" s="330"/>
      <c r="AL1024" s="330"/>
      <c r="AM1024" s="330"/>
      <c r="AN1024" s="328">
        <f>VLOOKUP("00-00180843",'Выгрузка из 1С'!$B$4:$K$2000,10,FALSE)</f>
        <v>14211</v>
      </c>
      <c r="AO1024" s="328"/>
      <c r="AP1024" s="328"/>
      <c r="AQ1024" s="328"/>
      <c r="AR1024" s="328"/>
      <c r="AS1024" s="328"/>
      <c r="AT1024" s="25"/>
      <c r="AU1024" s="25"/>
      <c r="AV1024" s="25"/>
      <c r="AW1024" s="25"/>
      <c r="AX1024" s="25"/>
    </row>
    <row r="1025" spans="1:50" s="35" customFormat="1" ht="15" customHeight="1" x14ac:dyDescent="0.25">
      <c r="A1025" s="25"/>
      <c r="B1025" s="25"/>
      <c r="C1025" s="331" t="s">
        <v>1429</v>
      </c>
      <c r="D1025" s="331"/>
      <c r="E1025" s="331"/>
      <c r="F1025" s="331"/>
      <c r="G1025" s="331"/>
      <c r="H1025" s="330" t="s">
        <v>1447</v>
      </c>
      <c r="I1025" s="330"/>
      <c r="J1025" s="330"/>
      <c r="K1025" s="330"/>
      <c r="L1025" s="330"/>
      <c r="M1025" s="330"/>
      <c r="N1025" s="330"/>
      <c r="O1025" s="330"/>
      <c r="P1025" s="330"/>
      <c r="Q1025" s="330"/>
      <c r="R1025" s="330"/>
      <c r="S1025" s="330"/>
      <c r="T1025" s="330"/>
      <c r="U1025" s="330"/>
      <c r="V1025" s="330"/>
      <c r="W1025" s="330"/>
      <c r="X1025" s="330"/>
      <c r="Y1025" s="330"/>
      <c r="Z1025" s="330"/>
      <c r="AA1025" s="330"/>
      <c r="AB1025" s="330" t="s">
        <v>1314</v>
      </c>
      <c r="AC1025" s="330"/>
      <c r="AD1025" s="330"/>
      <c r="AE1025" s="330"/>
      <c r="AF1025" s="330"/>
      <c r="AG1025" s="330"/>
      <c r="AH1025" s="330" t="s">
        <v>1273</v>
      </c>
      <c r="AI1025" s="330"/>
      <c r="AJ1025" s="330"/>
      <c r="AK1025" s="330"/>
      <c r="AL1025" s="330"/>
      <c r="AM1025" s="330"/>
      <c r="AN1025" s="328">
        <f>VLOOKUP("00-00180844",'Выгрузка из 1С'!$B$4:$K$2000,10,FALSE)</f>
        <v>15562</v>
      </c>
      <c r="AO1025" s="328"/>
      <c r="AP1025" s="328"/>
      <c r="AQ1025" s="328"/>
      <c r="AR1025" s="328"/>
      <c r="AS1025" s="328"/>
      <c r="AT1025" s="25"/>
      <c r="AU1025" s="25"/>
      <c r="AV1025" s="25"/>
      <c r="AW1025" s="25"/>
      <c r="AX1025" s="25"/>
    </row>
    <row r="1026" spans="1:50" s="35" customFormat="1" ht="15" customHeight="1" x14ac:dyDescent="0.25">
      <c r="A1026" s="25"/>
      <c r="B1026" s="25"/>
      <c r="C1026" s="331" t="s">
        <v>1430</v>
      </c>
      <c r="D1026" s="331"/>
      <c r="E1026" s="331"/>
      <c r="F1026" s="331"/>
      <c r="G1026" s="331"/>
      <c r="H1026" s="330" t="s">
        <v>1448</v>
      </c>
      <c r="I1026" s="330"/>
      <c r="J1026" s="330"/>
      <c r="K1026" s="330"/>
      <c r="L1026" s="330"/>
      <c r="M1026" s="330"/>
      <c r="N1026" s="330"/>
      <c r="O1026" s="330"/>
      <c r="P1026" s="330"/>
      <c r="Q1026" s="330"/>
      <c r="R1026" s="330"/>
      <c r="S1026" s="330"/>
      <c r="T1026" s="330"/>
      <c r="U1026" s="330"/>
      <c r="V1026" s="330"/>
      <c r="W1026" s="330"/>
      <c r="X1026" s="330"/>
      <c r="Y1026" s="330"/>
      <c r="Z1026" s="330"/>
      <c r="AA1026" s="330"/>
      <c r="AB1026" s="330" t="s">
        <v>1314</v>
      </c>
      <c r="AC1026" s="330"/>
      <c r="AD1026" s="330"/>
      <c r="AE1026" s="330"/>
      <c r="AF1026" s="330"/>
      <c r="AG1026" s="330"/>
      <c r="AH1026" s="330" t="s">
        <v>1273</v>
      </c>
      <c r="AI1026" s="330"/>
      <c r="AJ1026" s="330"/>
      <c r="AK1026" s="330"/>
      <c r="AL1026" s="330"/>
      <c r="AM1026" s="330"/>
      <c r="AN1026" s="328">
        <f>VLOOKUP("00-00196096",'Выгрузка из 1С'!$B$4:$K$2000,10,FALSE)</f>
        <v>40710</v>
      </c>
      <c r="AO1026" s="328"/>
      <c r="AP1026" s="328"/>
      <c r="AQ1026" s="328"/>
      <c r="AR1026" s="328"/>
      <c r="AS1026" s="328"/>
      <c r="AT1026" s="25"/>
      <c r="AU1026" s="25"/>
      <c r="AV1026" s="25"/>
      <c r="AW1026" s="25"/>
      <c r="AX1026" s="25"/>
    </row>
    <row r="1027" spans="1:50" s="35" customFormat="1" ht="15" customHeight="1" x14ac:dyDescent="0.25">
      <c r="A1027" s="25"/>
      <c r="B1027" s="25"/>
      <c r="C1027" s="331" t="s">
        <v>1431</v>
      </c>
      <c r="D1027" s="331"/>
      <c r="E1027" s="331"/>
      <c r="F1027" s="331"/>
      <c r="G1027" s="331"/>
      <c r="H1027" s="330" t="s">
        <v>1449</v>
      </c>
      <c r="I1027" s="330"/>
      <c r="J1027" s="330"/>
      <c r="K1027" s="330"/>
      <c r="L1027" s="330"/>
      <c r="M1027" s="330"/>
      <c r="N1027" s="330"/>
      <c r="O1027" s="330"/>
      <c r="P1027" s="330"/>
      <c r="Q1027" s="330"/>
      <c r="R1027" s="330"/>
      <c r="S1027" s="330"/>
      <c r="T1027" s="330"/>
      <c r="U1027" s="330"/>
      <c r="V1027" s="330"/>
      <c r="W1027" s="330"/>
      <c r="X1027" s="330"/>
      <c r="Y1027" s="330"/>
      <c r="Z1027" s="330"/>
      <c r="AA1027" s="330"/>
      <c r="AB1027" s="330" t="s">
        <v>1349</v>
      </c>
      <c r="AC1027" s="330"/>
      <c r="AD1027" s="330"/>
      <c r="AE1027" s="330"/>
      <c r="AF1027" s="330"/>
      <c r="AG1027" s="330"/>
      <c r="AH1027" s="330" t="s">
        <v>1273</v>
      </c>
      <c r="AI1027" s="330"/>
      <c r="AJ1027" s="330"/>
      <c r="AK1027" s="330"/>
      <c r="AL1027" s="330"/>
      <c r="AM1027" s="330"/>
      <c r="AN1027" s="328">
        <f>VLOOKUP("00-00180999",'Выгрузка из 1С'!$B$4:$K$2000,10,FALSE)</f>
        <v>15770</v>
      </c>
      <c r="AO1027" s="328"/>
      <c r="AP1027" s="328"/>
      <c r="AQ1027" s="328"/>
      <c r="AR1027" s="328"/>
      <c r="AS1027" s="328"/>
      <c r="AT1027" s="25"/>
      <c r="AU1027" s="25"/>
      <c r="AV1027" s="25"/>
      <c r="AW1027" s="25"/>
      <c r="AX1027" s="25"/>
    </row>
    <row r="1028" spans="1:50" s="35" customFormat="1" ht="15" customHeight="1" x14ac:dyDescent="0.25">
      <c r="A1028" s="25"/>
      <c r="B1028" s="25"/>
      <c r="C1028" s="331" t="s">
        <v>1432</v>
      </c>
      <c r="D1028" s="331"/>
      <c r="E1028" s="331"/>
      <c r="F1028" s="331"/>
      <c r="G1028" s="331"/>
      <c r="H1028" s="330" t="s">
        <v>1450</v>
      </c>
      <c r="I1028" s="330"/>
      <c r="J1028" s="330"/>
      <c r="K1028" s="330"/>
      <c r="L1028" s="330"/>
      <c r="M1028" s="330"/>
      <c r="N1028" s="330"/>
      <c r="O1028" s="330"/>
      <c r="P1028" s="330"/>
      <c r="Q1028" s="330"/>
      <c r="R1028" s="330"/>
      <c r="S1028" s="330"/>
      <c r="T1028" s="330"/>
      <c r="U1028" s="330"/>
      <c r="V1028" s="330"/>
      <c r="W1028" s="330"/>
      <c r="X1028" s="330"/>
      <c r="Y1028" s="330"/>
      <c r="Z1028" s="330"/>
      <c r="AA1028" s="330"/>
      <c r="AB1028" s="330" t="s">
        <v>1349</v>
      </c>
      <c r="AC1028" s="330"/>
      <c r="AD1028" s="330"/>
      <c r="AE1028" s="330"/>
      <c r="AF1028" s="330"/>
      <c r="AG1028" s="330"/>
      <c r="AH1028" s="330" t="s">
        <v>1273</v>
      </c>
      <c r="AI1028" s="330"/>
      <c r="AJ1028" s="330"/>
      <c r="AK1028" s="330"/>
      <c r="AL1028" s="330"/>
      <c r="AM1028" s="330"/>
      <c r="AN1028" s="328">
        <f>VLOOKUP("00-00181000",'Выгрузка из 1С'!$B$4:$K$2000,10,FALSE)</f>
        <v>17120</v>
      </c>
      <c r="AO1028" s="328"/>
      <c r="AP1028" s="328"/>
      <c r="AQ1028" s="328"/>
      <c r="AR1028" s="328"/>
      <c r="AS1028" s="328"/>
      <c r="AT1028" s="25"/>
      <c r="AU1028" s="25"/>
      <c r="AV1028" s="25"/>
      <c r="AW1028" s="25"/>
      <c r="AX1028" s="25"/>
    </row>
    <row r="1029" spans="1:50" s="35" customFormat="1" ht="15" customHeight="1" x14ac:dyDescent="0.25">
      <c r="A1029" s="25"/>
      <c r="B1029" s="25"/>
      <c r="C1029" s="331" t="s">
        <v>1433</v>
      </c>
      <c r="D1029" s="331"/>
      <c r="E1029" s="331"/>
      <c r="F1029" s="331"/>
      <c r="G1029" s="331"/>
      <c r="H1029" s="330" t="s">
        <v>1451</v>
      </c>
      <c r="I1029" s="330"/>
      <c r="J1029" s="330"/>
      <c r="K1029" s="330"/>
      <c r="L1029" s="330"/>
      <c r="M1029" s="330"/>
      <c r="N1029" s="330"/>
      <c r="O1029" s="330"/>
      <c r="P1029" s="330"/>
      <c r="Q1029" s="330"/>
      <c r="R1029" s="330"/>
      <c r="S1029" s="330"/>
      <c r="T1029" s="330"/>
      <c r="U1029" s="330"/>
      <c r="V1029" s="330"/>
      <c r="W1029" s="330"/>
      <c r="X1029" s="330"/>
      <c r="Y1029" s="330"/>
      <c r="Z1029" s="330"/>
      <c r="AA1029" s="330"/>
      <c r="AB1029" s="330" t="s">
        <v>1349</v>
      </c>
      <c r="AC1029" s="330"/>
      <c r="AD1029" s="330"/>
      <c r="AE1029" s="330"/>
      <c r="AF1029" s="330"/>
      <c r="AG1029" s="330"/>
      <c r="AH1029" s="330" t="s">
        <v>1273</v>
      </c>
      <c r="AI1029" s="330"/>
      <c r="AJ1029" s="330"/>
      <c r="AK1029" s="330"/>
      <c r="AL1029" s="330"/>
      <c r="AM1029" s="330"/>
      <c r="AN1029" s="328">
        <f>VLOOKUP("00-00196098",'Выгрузка из 1С'!$B$4:$K$2000,10,FALSE)</f>
        <v>34157</v>
      </c>
      <c r="AO1029" s="328"/>
      <c r="AP1029" s="328"/>
      <c r="AQ1029" s="328"/>
      <c r="AR1029" s="328"/>
      <c r="AS1029" s="328"/>
      <c r="AT1029" s="25"/>
      <c r="AU1029" s="25"/>
      <c r="AV1029" s="25"/>
      <c r="AW1029" s="25"/>
      <c r="AX1029" s="25"/>
    </row>
    <row r="1030" spans="1:50" s="35" customFormat="1" ht="15" customHeight="1" x14ac:dyDescent="0.25">
      <c r="A1030" s="25"/>
      <c r="B1030" s="25"/>
      <c r="C1030" s="331" t="s">
        <v>1434</v>
      </c>
      <c r="D1030" s="331"/>
      <c r="E1030" s="331"/>
      <c r="F1030" s="331"/>
      <c r="G1030" s="331"/>
      <c r="H1030" s="330" t="s">
        <v>1452</v>
      </c>
      <c r="I1030" s="330"/>
      <c r="J1030" s="330"/>
      <c r="K1030" s="330"/>
      <c r="L1030" s="330"/>
      <c r="M1030" s="330"/>
      <c r="N1030" s="330"/>
      <c r="O1030" s="330"/>
      <c r="P1030" s="330"/>
      <c r="Q1030" s="330"/>
      <c r="R1030" s="330"/>
      <c r="S1030" s="330"/>
      <c r="T1030" s="330"/>
      <c r="U1030" s="330"/>
      <c r="V1030" s="330"/>
      <c r="W1030" s="330"/>
      <c r="X1030" s="330"/>
      <c r="Y1030" s="330"/>
      <c r="Z1030" s="330"/>
      <c r="AA1030" s="330"/>
      <c r="AB1030" s="330" t="s">
        <v>1146</v>
      </c>
      <c r="AC1030" s="330"/>
      <c r="AD1030" s="330"/>
      <c r="AE1030" s="330"/>
      <c r="AF1030" s="330"/>
      <c r="AG1030" s="330"/>
      <c r="AH1030" s="330" t="s">
        <v>1424</v>
      </c>
      <c r="AI1030" s="330"/>
      <c r="AJ1030" s="330"/>
      <c r="AK1030" s="330"/>
      <c r="AL1030" s="330"/>
      <c r="AM1030" s="330"/>
      <c r="AN1030" s="328">
        <f>VLOOKUP("00-00180849",'Выгрузка из 1С'!$B$4:$K$2000,10,FALSE)</f>
        <v>18123</v>
      </c>
      <c r="AO1030" s="328"/>
      <c r="AP1030" s="328"/>
      <c r="AQ1030" s="328"/>
      <c r="AR1030" s="328"/>
      <c r="AS1030" s="328"/>
      <c r="AT1030" s="25"/>
      <c r="AU1030" s="25"/>
      <c r="AV1030" s="25"/>
      <c r="AW1030" s="25"/>
      <c r="AX1030" s="25"/>
    </row>
    <row r="1031" spans="1:50" s="35" customFormat="1" ht="15" customHeight="1" x14ac:dyDescent="0.25">
      <c r="A1031" s="25"/>
      <c r="B1031" s="25"/>
      <c r="C1031" s="331" t="s">
        <v>1435</v>
      </c>
      <c r="D1031" s="331"/>
      <c r="E1031" s="331"/>
      <c r="F1031" s="331"/>
      <c r="G1031" s="331"/>
      <c r="H1031" s="330" t="s">
        <v>1453</v>
      </c>
      <c r="I1031" s="330"/>
      <c r="J1031" s="330"/>
      <c r="K1031" s="330"/>
      <c r="L1031" s="330"/>
      <c r="M1031" s="330"/>
      <c r="N1031" s="330"/>
      <c r="O1031" s="330"/>
      <c r="P1031" s="330"/>
      <c r="Q1031" s="330"/>
      <c r="R1031" s="330"/>
      <c r="S1031" s="330"/>
      <c r="T1031" s="330"/>
      <c r="U1031" s="330"/>
      <c r="V1031" s="330"/>
      <c r="W1031" s="330"/>
      <c r="X1031" s="330"/>
      <c r="Y1031" s="330"/>
      <c r="Z1031" s="330"/>
      <c r="AA1031" s="330"/>
      <c r="AB1031" s="330" t="s">
        <v>1146</v>
      </c>
      <c r="AC1031" s="330"/>
      <c r="AD1031" s="330"/>
      <c r="AE1031" s="330"/>
      <c r="AF1031" s="330"/>
      <c r="AG1031" s="330"/>
      <c r="AH1031" s="330" t="s">
        <v>1424</v>
      </c>
      <c r="AI1031" s="330"/>
      <c r="AJ1031" s="330"/>
      <c r="AK1031" s="330"/>
      <c r="AL1031" s="330"/>
      <c r="AM1031" s="330"/>
      <c r="AN1031" s="328">
        <f>VLOOKUP("00-00180850",'Выгрузка из 1С'!$B$4:$K$2000,10,FALSE)</f>
        <v>19473</v>
      </c>
      <c r="AO1031" s="328"/>
      <c r="AP1031" s="328"/>
      <c r="AQ1031" s="328"/>
      <c r="AR1031" s="328"/>
      <c r="AS1031" s="328"/>
      <c r="AT1031" s="25"/>
      <c r="AU1031" s="25"/>
      <c r="AV1031" s="25"/>
      <c r="AW1031" s="25"/>
      <c r="AX1031" s="25"/>
    </row>
    <row r="1032" spans="1:50" s="35" customFormat="1" ht="15" customHeight="1" x14ac:dyDescent="0.25">
      <c r="A1032" s="25"/>
      <c r="B1032" s="25"/>
      <c r="C1032" s="331" t="s">
        <v>1436</v>
      </c>
      <c r="D1032" s="331"/>
      <c r="E1032" s="331"/>
      <c r="F1032" s="331"/>
      <c r="G1032" s="331"/>
      <c r="H1032" s="330" t="s">
        <v>1454</v>
      </c>
      <c r="I1032" s="330"/>
      <c r="J1032" s="330"/>
      <c r="K1032" s="330"/>
      <c r="L1032" s="330"/>
      <c r="M1032" s="330"/>
      <c r="N1032" s="330"/>
      <c r="O1032" s="330"/>
      <c r="P1032" s="330"/>
      <c r="Q1032" s="330"/>
      <c r="R1032" s="330"/>
      <c r="S1032" s="330"/>
      <c r="T1032" s="330"/>
      <c r="U1032" s="330"/>
      <c r="V1032" s="330"/>
      <c r="W1032" s="330"/>
      <c r="X1032" s="330"/>
      <c r="Y1032" s="330"/>
      <c r="Z1032" s="330"/>
      <c r="AA1032" s="330"/>
      <c r="AB1032" s="330" t="s">
        <v>1146</v>
      </c>
      <c r="AC1032" s="330"/>
      <c r="AD1032" s="330"/>
      <c r="AE1032" s="330"/>
      <c r="AF1032" s="330"/>
      <c r="AG1032" s="330"/>
      <c r="AH1032" s="330" t="s">
        <v>1424</v>
      </c>
      <c r="AI1032" s="330"/>
      <c r="AJ1032" s="330"/>
      <c r="AK1032" s="330"/>
      <c r="AL1032" s="330"/>
      <c r="AM1032" s="330"/>
      <c r="AN1032" s="328">
        <f>VLOOKUP("00-00196100",'Выгрузка из 1С'!$B$4:$K$2000,10,FALSE)</f>
        <v>31504</v>
      </c>
      <c r="AO1032" s="328"/>
      <c r="AP1032" s="328"/>
      <c r="AQ1032" s="328"/>
      <c r="AR1032" s="328"/>
      <c r="AS1032" s="328"/>
      <c r="AT1032" s="25"/>
      <c r="AU1032" s="25"/>
      <c r="AV1032" s="25"/>
      <c r="AW1032" s="25"/>
      <c r="AX1032" s="25"/>
    </row>
    <row r="1033" spans="1:50" s="35" customFormat="1" ht="15" customHeight="1" x14ac:dyDescent="0.25">
      <c r="A1033" s="25"/>
      <c r="B1033" s="25"/>
      <c r="C1033" s="331" t="s">
        <v>1437</v>
      </c>
      <c r="D1033" s="331"/>
      <c r="E1033" s="331"/>
      <c r="F1033" s="331"/>
      <c r="G1033" s="331"/>
      <c r="H1033" s="330" t="s">
        <v>1455</v>
      </c>
      <c r="I1033" s="330"/>
      <c r="J1033" s="330"/>
      <c r="K1033" s="330"/>
      <c r="L1033" s="330"/>
      <c r="M1033" s="330"/>
      <c r="N1033" s="330"/>
      <c r="O1033" s="330"/>
      <c r="P1033" s="330"/>
      <c r="Q1033" s="330"/>
      <c r="R1033" s="330"/>
      <c r="S1033" s="330"/>
      <c r="T1033" s="330"/>
      <c r="U1033" s="330"/>
      <c r="V1033" s="330"/>
      <c r="W1033" s="330"/>
      <c r="X1033" s="330"/>
      <c r="Y1033" s="330"/>
      <c r="Z1033" s="330"/>
      <c r="AA1033" s="330"/>
      <c r="AB1033" s="330" t="s">
        <v>1348</v>
      </c>
      <c r="AC1033" s="330"/>
      <c r="AD1033" s="330"/>
      <c r="AE1033" s="330"/>
      <c r="AF1033" s="330"/>
      <c r="AG1033" s="330"/>
      <c r="AH1033" s="330" t="s">
        <v>1426</v>
      </c>
      <c r="AI1033" s="330"/>
      <c r="AJ1033" s="330"/>
      <c r="AK1033" s="330"/>
      <c r="AL1033" s="330"/>
      <c r="AM1033" s="330"/>
      <c r="AN1033" s="328">
        <f>VLOOKUP("00-00181005",'Выгрузка из 1С'!$B$4:$K$2000,10,FALSE)</f>
        <v>17827</v>
      </c>
      <c r="AO1033" s="328"/>
      <c r="AP1033" s="328"/>
      <c r="AQ1033" s="328"/>
      <c r="AR1033" s="328"/>
      <c r="AS1033" s="328"/>
      <c r="AT1033" s="25"/>
      <c r="AU1033" s="25"/>
      <c r="AV1033" s="25"/>
      <c r="AW1033" s="25"/>
      <c r="AX1033" s="25"/>
    </row>
    <row r="1034" spans="1:50" s="35" customFormat="1" ht="15" customHeight="1" x14ac:dyDescent="0.25">
      <c r="A1034" s="25"/>
      <c r="B1034" s="25"/>
      <c r="C1034" s="331" t="s">
        <v>1438</v>
      </c>
      <c r="D1034" s="331"/>
      <c r="E1034" s="331"/>
      <c r="F1034" s="331"/>
      <c r="G1034" s="331"/>
      <c r="H1034" s="330" t="s">
        <v>1456</v>
      </c>
      <c r="I1034" s="330"/>
      <c r="J1034" s="330"/>
      <c r="K1034" s="330"/>
      <c r="L1034" s="330"/>
      <c r="M1034" s="330"/>
      <c r="N1034" s="330"/>
      <c r="O1034" s="330"/>
      <c r="P1034" s="330"/>
      <c r="Q1034" s="330"/>
      <c r="R1034" s="330"/>
      <c r="S1034" s="330"/>
      <c r="T1034" s="330"/>
      <c r="U1034" s="330"/>
      <c r="V1034" s="330"/>
      <c r="W1034" s="330"/>
      <c r="X1034" s="330"/>
      <c r="Y1034" s="330"/>
      <c r="Z1034" s="330"/>
      <c r="AA1034" s="330"/>
      <c r="AB1034" s="330" t="s">
        <v>1348</v>
      </c>
      <c r="AC1034" s="330"/>
      <c r="AD1034" s="330"/>
      <c r="AE1034" s="330"/>
      <c r="AF1034" s="330"/>
      <c r="AG1034" s="330"/>
      <c r="AH1034" s="330" t="s">
        <v>1426</v>
      </c>
      <c r="AI1034" s="330"/>
      <c r="AJ1034" s="330"/>
      <c r="AK1034" s="330"/>
      <c r="AL1034" s="330"/>
      <c r="AM1034" s="330"/>
      <c r="AN1034" s="328">
        <f>VLOOKUP("00-00181006",'Выгрузка из 1С'!$B$4:$K$2000,10,FALSE)</f>
        <v>19179</v>
      </c>
      <c r="AO1034" s="328"/>
      <c r="AP1034" s="328"/>
      <c r="AQ1034" s="328"/>
      <c r="AR1034" s="328"/>
      <c r="AS1034" s="328"/>
      <c r="AT1034" s="25"/>
      <c r="AU1034" s="25"/>
      <c r="AV1034" s="25"/>
      <c r="AW1034" s="25"/>
      <c r="AX1034" s="25"/>
    </row>
    <row r="1035" spans="1:50" s="35" customFormat="1" ht="15" customHeight="1" x14ac:dyDescent="0.25">
      <c r="A1035" s="25"/>
      <c r="B1035" s="25"/>
      <c r="C1035" s="331" t="s">
        <v>1439</v>
      </c>
      <c r="D1035" s="331"/>
      <c r="E1035" s="331"/>
      <c r="F1035" s="331"/>
      <c r="G1035" s="331"/>
      <c r="H1035" s="330" t="s">
        <v>1457</v>
      </c>
      <c r="I1035" s="330"/>
      <c r="J1035" s="330"/>
      <c r="K1035" s="330"/>
      <c r="L1035" s="330"/>
      <c r="M1035" s="330"/>
      <c r="N1035" s="330"/>
      <c r="O1035" s="330"/>
      <c r="P1035" s="330"/>
      <c r="Q1035" s="330"/>
      <c r="R1035" s="330"/>
      <c r="S1035" s="330"/>
      <c r="T1035" s="330"/>
      <c r="U1035" s="330"/>
      <c r="V1035" s="330"/>
      <c r="W1035" s="330"/>
      <c r="X1035" s="330"/>
      <c r="Y1035" s="330"/>
      <c r="Z1035" s="330"/>
      <c r="AA1035" s="330"/>
      <c r="AB1035" s="330" t="s">
        <v>1348</v>
      </c>
      <c r="AC1035" s="330"/>
      <c r="AD1035" s="330"/>
      <c r="AE1035" s="330"/>
      <c r="AF1035" s="330"/>
      <c r="AG1035" s="330"/>
      <c r="AH1035" s="330" t="s">
        <v>1426</v>
      </c>
      <c r="AI1035" s="330"/>
      <c r="AJ1035" s="330"/>
      <c r="AK1035" s="330"/>
      <c r="AL1035" s="330"/>
      <c r="AM1035" s="330"/>
      <c r="AN1035" s="328">
        <f>VLOOKUP("00-00196102",'Выгрузка из 1С'!$B$4:$K$2000,10,FALSE)</f>
        <v>38289</v>
      </c>
      <c r="AO1035" s="328"/>
      <c r="AP1035" s="328"/>
      <c r="AQ1035" s="328"/>
      <c r="AR1035" s="328"/>
      <c r="AS1035" s="328"/>
      <c r="AT1035" s="25"/>
      <c r="AU1035" s="25"/>
      <c r="AV1035" s="25"/>
      <c r="AW1035" s="25"/>
      <c r="AX1035" s="25"/>
    </row>
    <row r="1036" spans="1:50" s="35" customFormat="1" ht="15" customHeight="1" x14ac:dyDescent="0.25">
      <c r="A1036" s="25"/>
      <c r="B1036" s="25"/>
      <c r="C1036" s="331" t="s">
        <v>1440</v>
      </c>
      <c r="D1036" s="331"/>
      <c r="E1036" s="331"/>
      <c r="F1036" s="331"/>
      <c r="G1036" s="331"/>
      <c r="H1036" s="330" t="s">
        <v>1458</v>
      </c>
      <c r="I1036" s="330"/>
      <c r="J1036" s="330"/>
      <c r="K1036" s="330"/>
      <c r="L1036" s="330"/>
      <c r="M1036" s="330"/>
      <c r="N1036" s="330"/>
      <c r="O1036" s="330"/>
      <c r="P1036" s="330"/>
      <c r="Q1036" s="330"/>
      <c r="R1036" s="330"/>
      <c r="S1036" s="330"/>
      <c r="T1036" s="330"/>
      <c r="U1036" s="330"/>
      <c r="V1036" s="330"/>
      <c r="W1036" s="330"/>
      <c r="X1036" s="330"/>
      <c r="Y1036" s="330"/>
      <c r="Z1036" s="330"/>
      <c r="AA1036" s="330"/>
      <c r="AB1036" s="330" t="s">
        <v>1350</v>
      </c>
      <c r="AC1036" s="330"/>
      <c r="AD1036" s="330"/>
      <c r="AE1036" s="330"/>
      <c r="AF1036" s="330"/>
      <c r="AG1036" s="330"/>
      <c r="AH1036" s="330" t="s">
        <v>1272</v>
      </c>
      <c r="AI1036" s="330"/>
      <c r="AJ1036" s="330"/>
      <c r="AK1036" s="330"/>
      <c r="AL1036" s="330"/>
      <c r="AM1036" s="330"/>
      <c r="AN1036" s="328">
        <f>VLOOKUP("00-00180855",'Выгрузка из 1С'!$B$4:$K$2000,10,FALSE)</f>
        <v>41467</v>
      </c>
      <c r="AO1036" s="328"/>
      <c r="AP1036" s="328"/>
      <c r="AQ1036" s="328"/>
      <c r="AR1036" s="328"/>
      <c r="AS1036" s="328"/>
      <c r="AT1036" s="25"/>
      <c r="AU1036" s="25"/>
      <c r="AV1036" s="25"/>
      <c r="AW1036" s="25"/>
      <c r="AX1036" s="25"/>
    </row>
    <row r="1037" spans="1:50" s="35" customFormat="1" ht="15" customHeight="1" x14ac:dyDescent="0.25">
      <c r="A1037" s="25"/>
      <c r="B1037" s="25"/>
      <c r="C1037" s="331" t="s">
        <v>1441</v>
      </c>
      <c r="D1037" s="331"/>
      <c r="E1037" s="331"/>
      <c r="F1037" s="331"/>
      <c r="G1037" s="331"/>
      <c r="H1037" s="330" t="s">
        <v>1459</v>
      </c>
      <c r="I1037" s="330"/>
      <c r="J1037" s="330"/>
      <c r="K1037" s="330"/>
      <c r="L1037" s="330"/>
      <c r="M1037" s="330"/>
      <c r="N1037" s="330"/>
      <c r="O1037" s="330"/>
      <c r="P1037" s="330"/>
      <c r="Q1037" s="330"/>
      <c r="R1037" s="330"/>
      <c r="S1037" s="330"/>
      <c r="T1037" s="330"/>
      <c r="U1037" s="330"/>
      <c r="V1037" s="330"/>
      <c r="W1037" s="330"/>
      <c r="X1037" s="330"/>
      <c r="Y1037" s="330"/>
      <c r="Z1037" s="330"/>
      <c r="AA1037" s="330"/>
      <c r="AB1037" s="330" t="s">
        <v>1350</v>
      </c>
      <c r="AC1037" s="330"/>
      <c r="AD1037" s="330"/>
      <c r="AE1037" s="330"/>
      <c r="AF1037" s="330"/>
      <c r="AG1037" s="330"/>
      <c r="AH1037" s="330" t="s">
        <v>1272</v>
      </c>
      <c r="AI1037" s="330"/>
      <c r="AJ1037" s="330"/>
      <c r="AK1037" s="330"/>
      <c r="AL1037" s="330"/>
      <c r="AM1037" s="330"/>
      <c r="AN1037" s="328">
        <f>VLOOKUP("00-00180856",'Выгрузка из 1С'!$B$4:$K$2000,10,FALSE)</f>
        <v>43173</v>
      </c>
      <c r="AO1037" s="328"/>
      <c r="AP1037" s="328"/>
      <c r="AQ1037" s="328"/>
      <c r="AR1037" s="328"/>
      <c r="AS1037" s="328"/>
      <c r="AT1037" s="25"/>
      <c r="AU1037" s="25"/>
      <c r="AV1037" s="25"/>
      <c r="AW1037" s="25"/>
      <c r="AX1037" s="25"/>
    </row>
    <row r="1038" spans="1:50" s="35" customFormat="1" ht="15" customHeight="1" x14ac:dyDescent="0.25">
      <c r="A1038" s="25"/>
      <c r="B1038" s="25"/>
      <c r="C1038" s="331" t="s">
        <v>1442</v>
      </c>
      <c r="D1038" s="331"/>
      <c r="E1038" s="331"/>
      <c r="F1038" s="331"/>
      <c r="G1038" s="331"/>
      <c r="H1038" s="330" t="s">
        <v>1460</v>
      </c>
      <c r="I1038" s="330"/>
      <c r="J1038" s="330"/>
      <c r="K1038" s="330"/>
      <c r="L1038" s="330"/>
      <c r="M1038" s="330"/>
      <c r="N1038" s="330"/>
      <c r="O1038" s="330"/>
      <c r="P1038" s="330"/>
      <c r="Q1038" s="330"/>
      <c r="R1038" s="330"/>
      <c r="S1038" s="330"/>
      <c r="T1038" s="330"/>
      <c r="U1038" s="330"/>
      <c r="V1038" s="330"/>
      <c r="W1038" s="330"/>
      <c r="X1038" s="330"/>
      <c r="Y1038" s="330"/>
      <c r="Z1038" s="330"/>
      <c r="AA1038" s="330"/>
      <c r="AB1038" s="330" t="s">
        <v>1350</v>
      </c>
      <c r="AC1038" s="330"/>
      <c r="AD1038" s="330"/>
      <c r="AE1038" s="330"/>
      <c r="AF1038" s="330"/>
      <c r="AG1038" s="330"/>
      <c r="AH1038" s="330" t="s">
        <v>1272</v>
      </c>
      <c r="AI1038" s="330"/>
      <c r="AJ1038" s="330"/>
      <c r="AK1038" s="330"/>
      <c r="AL1038" s="330"/>
      <c r="AM1038" s="330"/>
      <c r="AN1038" s="328">
        <f>VLOOKUP("00-00196104",'Выгрузка из 1С'!$B$4:$K$2000,10,FALSE)</f>
        <v>64827</v>
      </c>
      <c r="AO1038" s="328"/>
      <c r="AP1038" s="328"/>
      <c r="AQ1038" s="328"/>
      <c r="AR1038" s="328"/>
      <c r="AS1038" s="328"/>
      <c r="AT1038" s="25"/>
      <c r="AU1038" s="25"/>
      <c r="AV1038" s="25"/>
      <c r="AW1038" s="25"/>
      <c r="AX1038" s="25"/>
    </row>
    <row r="1039" spans="1:50" s="35" customFormat="1" ht="15" customHeight="1" x14ac:dyDescent="0.25">
      <c r="A1039" s="25"/>
      <c r="B1039" s="25"/>
      <c r="C1039" s="331" t="s">
        <v>1443</v>
      </c>
      <c r="D1039" s="331"/>
      <c r="E1039" s="331"/>
      <c r="F1039" s="331"/>
      <c r="G1039" s="331"/>
      <c r="H1039" s="330" t="s">
        <v>1461</v>
      </c>
      <c r="I1039" s="330"/>
      <c r="J1039" s="330"/>
      <c r="K1039" s="330"/>
      <c r="L1039" s="330"/>
      <c r="M1039" s="330"/>
      <c r="N1039" s="330"/>
      <c r="O1039" s="330"/>
      <c r="P1039" s="330"/>
      <c r="Q1039" s="330"/>
      <c r="R1039" s="330"/>
      <c r="S1039" s="330"/>
      <c r="T1039" s="330"/>
      <c r="U1039" s="330"/>
      <c r="V1039" s="330"/>
      <c r="W1039" s="330"/>
      <c r="X1039" s="330"/>
      <c r="Y1039" s="330"/>
      <c r="Z1039" s="330"/>
      <c r="AA1039" s="330"/>
      <c r="AB1039" s="330" t="s">
        <v>1273</v>
      </c>
      <c r="AC1039" s="330"/>
      <c r="AD1039" s="330"/>
      <c r="AE1039" s="330"/>
      <c r="AF1039" s="330"/>
      <c r="AG1039" s="330"/>
      <c r="AH1039" s="330" t="s">
        <v>1427</v>
      </c>
      <c r="AI1039" s="330"/>
      <c r="AJ1039" s="330"/>
      <c r="AK1039" s="330"/>
      <c r="AL1039" s="330"/>
      <c r="AM1039" s="330"/>
      <c r="AN1039" s="328">
        <f>VLOOKUP("00-00196081",'Выгрузка из 1С'!$B$4:$K$2000,10,FALSE)</f>
        <v>89601</v>
      </c>
      <c r="AO1039" s="328"/>
      <c r="AP1039" s="328"/>
      <c r="AQ1039" s="328"/>
      <c r="AR1039" s="328"/>
      <c r="AS1039" s="328"/>
      <c r="AT1039" s="25"/>
      <c r="AU1039" s="25"/>
      <c r="AV1039" s="25"/>
      <c r="AW1039" s="25"/>
      <c r="AX1039" s="25"/>
    </row>
    <row r="1040" spans="1:50" s="35" customFormat="1" ht="15" customHeight="1" x14ac:dyDescent="0.25">
      <c r="A1040" s="25"/>
      <c r="B1040" s="25"/>
      <c r="C1040" s="331" t="s">
        <v>1444</v>
      </c>
      <c r="D1040" s="331"/>
      <c r="E1040" s="331"/>
      <c r="F1040" s="331"/>
      <c r="G1040" s="331"/>
      <c r="H1040" s="330" t="s">
        <v>1462</v>
      </c>
      <c r="I1040" s="330"/>
      <c r="J1040" s="330"/>
      <c r="K1040" s="330"/>
      <c r="L1040" s="330"/>
      <c r="M1040" s="330"/>
      <c r="N1040" s="330"/>
      <c r="O1040" s="330"/>
      <c r="P1040" s="330"/>
      <c r="Q1040" s="330"/>
      <c r="R1040" s="330"/>
      <c r="S1040" s="330"/>
      <c r="T1040" s="330"/>
      <c r="U1040" s="330"/>
      <c r="V1040" s="330"/>
      <c r="W1040" s="330"/>
      <c r="X1040" s="330"/>
      <c r="Y1040" s="330"/>
      <c r="Z1040" s="330"/>
      <c r="AA1040" s="330"/>
      <c r="AB1040" s="330" t="s">
        <v>1273</v>
      </c>
      <c r="AC1040" s="330"/>
      <c r="AD1040" s="330"/>
      <c r="AE1040" s="330"/>
      <c r="AF1040" s="330"/>
      <c r="AG1040" s="330"/>
      <c r="AH1040" s="330" t="s">
        <v>1427</v>
      </c>
      <c r="AI1040" s="330"/>
      <c r="AJ1040" s="330"/>
      <c r="AK1040" s="330"/>
      <c r="AL1040" s="330"/>
      <c r="AM1040" s="330"/>
      <c r="AN1040" s="328">
        <f>VLOOKUP("00-00180859",'Выгрузка из 1С'!$B$4:$K$2000,10,FALSE)</f>
        <v>91307</v>
      </c>
      <c r="AO1040" s="328"/>
      <c r="AP1040" s="328"/>
      <c r="AQ1040" s="328"/>
      <c r="AR1040" s="328"/>
      <c r="AS1040" s="328"/>
      <c r="AT1040" s="25"/>
      <c r="AU1040" s="25"/>
      <c r="AV1040" s="25"/>
      <c r="AW1040" s="25"/>
      <c r="AX1040" s="25"/>
    </row>
    <row r="1041" spans="1:50" s="35" customFormat="1" ht="15" customHeight="1" x14ac:dyDescent="0.25">
      <c r="A1041" s="25"/>
      <c r="B1041" s="25"/>
      <c r="C1041" s="331" t="s">
        <v>1445</v>
      </c>
      <c r="D1041" s="331"/>
      <c r="E1041" s="331"/>
      <c r="F1041" s="331"/>
      <c r="G1041" s="331"/>
      <c r="H1041" s="330" t="s">
        <v>1463</v>
      </c>
      <c r="I1041" s="330"/>
      <c r="J1041" s="330"/>
      <c r="K1041" s="330"/>
      <c r="L1041" s="330"/>
      <c r="M1041" s="330"/>
      <c r="N1041" s="330"/>
      <c r="O1041" s="330"/>
      <c r="P1041" s="330"/>
      <c r="Q1041" s="330"/>
      <c r="R1041" s="330"/>
      <c r="S1041" s="330"/>
      <c r="T1041" s="330"/>
      <c r="U1041" s="330"/>
      <c r="V1041" s="330"/>
      <c r="W1041" s="330"/>
      <c r="X1041" s="330"/>
      <c r="Y1041" s="330"/>
      <c r="Z1041" s="330"/>
      <c r="AA1041" s="330"/>
      <c r="AB1041" s="330" t="s">
        <v>1273</v>
      </c>
      <c r="AC1041" s="330"/>
      <c r="AD1041" s="330"/>
      <c r="AE1041" s="330"/>
      <c r="AF1041" s="330"/>
      <c r="AG1041" s="330"/>
      <c r="AH1041" s="330" t="s">
        <v>1427</v>
      </c>
      <c r="AI1041" s="330"/>
      <c r="AJ1041" s="330"/>
      <c r="AK1041" s="330"/>
      <c r="AL1041" s="330"/>
      <c r="AM1041" s="330"/>
      <c r="AN1041" s="328">
        <f>VLOOKUP("00-00196106",'Выгрузка из 1С'!$B$4:$K$2000,10,FALSE)</f>
        <v>109943</v>
      </c>
      <c r="AO1041" s="328"/>
      <c r="AP1041" s="328"/>
      <c r="AQ1041" s="328"/>
      <c r="AR1041" s="328"/>
      <c r="AS1041" s="328"/>
      <c r="AT1041" s="25"/>
      <c r="AU1041" s="25"/>
      <c r="AV1041" s="25"/>
      <c r="AW1041" s="25"/>
      <c r="AX1041" s="25"/>
    </row>
    <row r="1042" spans="1:50" s="35" customFormat="1" ht="15" customHeight="1" x14ac:dyDescent="0.2">
      <c r="A1042" s="25"/>
      <c r="B1042" s="25"/>
      <c r="C1042" s="304"/>
      <c r="D1042" s="304"/>
      <c r="E1042" s="304"/>
      <c r="F1042" s="304"/>
      <c r="G1042" s="304"/>
      <c r="H1042" s="305"/>
      <c r="I1042" s="305"/>
      <c r="J1042" s="305"/>
      <c r="K1042" s="305"/>
      <c r="L1042" s="305"/>
      <c r="M1042" s="305"/>
      <c r="N1042" s="305"/>
      <c r="O1042" s="305"/>
      <c r="P1042" s="305"/>
      <c r="Q1042" s="305"/>
      <c r="R1042" s="305"/>
      <c r="S1042" s="305"/>
      <c r="T1042" s="305"/>
      <c r="U1042" s="305"/>
      <c r="V1042" s="305"/>
      <c r="W1042" s="305"/>
      <c r="X1042" s="305"/>
      <c r="Y1042" s="305"/>
      <c r="Z1042" s="305"/>
      <c r="AA1042" s="305"/>
      <c r="AB1042" s="305"/>
      <c r="AC1042" s="305"/>
      <c r="AD1042" s="305"/>
      <c r="AE1042" s="305"/>
      <c r="AF1042" s="305"/>
      <c r="AG1042" s="305"/>
      <c r="AH1042" s="305"/>
      <c r="AI1042" s="305"/>
      <c r="AJ1042" s="305"/>
      <c r="AK1042" s="305"/>
      <c r="AL1042" s="305"/>
      <c r="AM1042" s="305"/>
      <c r="AN1042" s="25"/>
      <c r="AO1042" s="25"/>
      <c r="AP1042" s="25"/>
      <c r="AQ1042" s="25"/>
      <c r="AR1042" s="25"/>
      <c r="AS1042" s="25"/>
      <c r="AT1042" s="25"/>
      <c r="AU1042" s="25"/>
      <c r="AV1042" s="25"/>
      <c r="AW1042" s="25"/>
      <c r="AX1042" s="25"/>
    </row>
    <row r="1043" spans="1:50" s="35" customFormat="1" ht="22.5" customHeight="1" x14ac:dyDescent="0.2">
      <c r="A1043" s="322"/>
      <c r="B1043" s="322"/>
      <c r="C1043" s="325" t="s">
        <v>1936</v>
      </c>
      <c r="D1043" s="323"/>
      <c r="E1043" s="323"/>
      <c r="F1043" s="323"/>
      <c r="G1043" s="323"/>
      <c r="H1043" s="324"/>
      <c r="I1043" s="324"/>
      <c r="J1043" s="324"/>
      <c r="K1043" s="324"/>
      <c r="L1043" s="324"/>
      <c r="M1043" s="324"/>
      <c r="N1043" s="324"/>
      <c r="O1043" s="324"/>
      <c r="P1043" s="324"/>
      <c r="Q1043" s="324"/>
      <c r="R1043" s="324"/>
      <c r="S1043" s="324"/>
      <c r="T1043" s="324"/>
      <c r="U1043" s="324"/>
      <c r="V1043" s="324"/>
      <c r="W1043" s="324"/>
      <c r="X1043" s="324"/>
      <c r="Y1043" s="324"/>
      <c r="Z1043" s="324"/>
      <c r="AA1043" s="324"/>
      <c r="AB1043" s="324"/>
      <c r="AC1043" s="324"/>
      <c r="AD1043" s="324"/>
      <c r="AE1043" s="324"/>
      <c r="AF1043" s="324"/>
      <c r="AG1043" s="324"/>
      <c r="AH1043" s="324"/>
      <c r="AI1043" s="324"/>
      <c r="AJ1043" s="324"/>
      <c r="AK1043" s="324"/>
      <c r="AL1043" s="324"/>
      <c r="AM1043" s="324"/>
      <c r="AN1043" s="322"/>
      <c r="AO1043" s="322"/>
      <c r="AP1043" s="322"/>
      <c r="AQ1043" s="322"/>
      <c r="AR1043" s="322"/>
      <c r="AS1043" s="322"/>
      <c r="AT1043" s="25"/>
      <c r="AU1043" s="25"/>
      <c r="AV1043" s="25"/>
      <c r="AW1043" s="25"/>
      <c r="AX1043" s="25"/>
    </row>
    <row r="1044" spans="1:50" s="35" customFormat="1" ht="15" customHeight="1" x14ac:dyDescent="0.2">
      <c r="A1044" s="25"/>
      <c r="B1044" s="25"/>
      <c r="C1044" s="304"/>
      <c r="D1044" s="304"/>
      <c r="E1044" s="304"/>
      <c r="F1044" s="304"/>
      <c r="G1044" s="304"/>
      <c r="H1044" s="305"/>
      <c r="I1044" s="305"/>
      <c r="J1044" s="305"/>
      <c r="K1044" s="305"/>
      <c r="L1044" s="305"/>
      <c r="M1044" s="305"/>
      <c r="N1044" s="305"/>
      <c r="O1044" s="305"/>
      <c r="P1044" s="305"/>
      <c r="Q1044" s="305"/>
      <c r="R1044" s="305"/>
      <c r="S1044" s="305"/>
      <c r="T1044" s="305"/>
      <c r="U1044" s="305"/>
      <c r="V1044" s="305"/>
      <c r="W1044" s="305"/>
      <c r="X1044" s="305"/>
      <c r="Y1044" s="305"/>
      <c r="Z1044" s="305"/>
      <c r="AA1044" s="305"/>
      <c r="AB1044" s="305"/>
      <c r="AC1044" s="305"/>
      <c r="AD1044" s="305"/>
      <c r="AE1044" s="305"/>
      <c r="AF1044" s="305"/>
      <c r="AG1044" s="305"/>
      <c r="AH1044" s="305"/>
      <c r="AI1044" s="305"/>
      <c r="AJ1044" s="305"/>
      <c r="AK1044" s="305"/>
      <c r="AL1044" s="305"/>
      <c r="AM1044" s="30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</row>
    <row r="1045" spans="1:50" s="35" customFormat="1" ht="15" customHeight="1" x14ac:dyDescent="0.2">
      <c r="A1045" s="25"/>
      <c r="B1045" s="25"/>
      <c r="C1045" s="736" t="s">
        <v>1913</v>
      </c>
      <c r="D1045" s="736"/>
      <c r="E1045" s="736"/>
      <c r="F1045" s="736"/>
      <c r="G1045" s="736"/>
      <c r="H1045" s="736"/>
      <c r="I1045" s="736"/>
      <c r="J1045" s="736"/>
      <c r="K1045" s="736"/>
      <c r="L1045" s="736"/>
      <c r="M1045" s="736"/>
      <c r="N1045" s="736"/>
      <c r="O1045" s="736"/>
      <c r="P1045" s="736"/>
      <c r="Q1045" s="736"/>
      <c r="R1045" s="736"/>
      <c r="S1045" s="736"/>
      <c r="T1045" s="736"/>
      <c r="U1045" s="736"/>
      <c r="V1045" s="736"/>
      <c r="W1045" s="736"/>
      <c r="X1045" s="736"/>
      <c r="Y1045" s="736"/>
      <c r="Z1045" s="736"/>
      <c r="AA1045" s="736"/>
      <c r="AB1045" s="736"/>
      <c r="AC1045" s="736"/>
      <c r="AD1045" s="736"/>
      <c r="AE1045" s="736"/>
      <c r="AF1045" s="736"/>
      <c r="AG1045" s="736"/>
      <c r="AH1045" s="736"/>
      <c r="AI1045" s="736"/>
      <c r="AJ1045" s="736"/>
      <c r="AK1045" s="736"/>
      <c r="AL1045" s="736"/>
      <c r="AM1045" s="736"/>
      <c r="AN1045" s="736"/>
      <c r="AO1045" s="736"/>
      <c r="AP1045" s="736"/>
      <c r="AQ1045" s="736"/>
      <c r="AR1045" s="736"/>
      <c r="AS1045" s="736"/>
      <c r="AT1045" s="25"/>
      <c r="AU1045" s="25"/>
      <c r="AV1045" s="25"/>
      <c r="AW1045" s="25"/>
      <c r="AX1045" s="25"/>
    </row>
    <row r="1046" spans="1:50" s="35" customFormat="1" ht="15" customHeight="1" x14ac:dyDescent="0.25">
      <c r="A1046" s="25"/>
      <c r="B1046" s="25"/>
      <c r="C1046" s="507" t="s">
        <v>306</v>
      </c>
      <c r="D1046" s="507"/>
      <c r="E1046" s="737" t="s">
        <v>1906</v>
      </c>
      <c r="F1046" s="737"/>
      <c r="G1046" s="737"/>
      <c r="H1046" s="737"/>
      <c r="I1046" s="737"/>
      <c r="J1046" s="515" t="s">
        <v>1910</v>
      </c>
      <c r="K1046" s="515"/>
      <c r="L1046" s="515"/>
      <c r="M1046" s="515"/>
      <c r="N1046" s="515"/>
      <c r="O1046" s="515"/>
      <c r="P1046" s="515"/>
      <c r="Q1046" s="515"/>
      <c r="R1046" s="515"/>
      <c r="S1046" s="515"/>
      <c r="T1046" s="515"/>
      <c r="U1046" s="515"/>
      <c r="V1046" s="515"/>
      <c r="W1046" s="515"/>
      <c r="X1046" s="515"/>
      <c r="Y1046" s="515" t="s">
        <v>1907</v>
      </c>
      <c r="Z1046" s="515"/>
      <c r="AA1046" s="515"/>
      <c r="AB1046" s="515" t="s">
        <v>31</v>
      </c>
      <c r="AC1046" s="515"/>
      <c r="AD1046" s="515"/>
      <c r="AE1046" s="515" t="s">
        <v>974</v>
      </c>
      <c r="AF1046" s="515"/>
      <c r="AG1046" s="515"/>
      <c r="AH1046" s="514" t="s">
        <v>1908</v>
      </c>
      <c r="AI1046" s="515"/>
      <c r="AJ1046" s="515"/>
      <c r="AK1046" s="515" t="s">
        <v>1909</v>
      </c>
      <c r="AL1046" s="515"/>
      <c r="AM1046" s="515"/>
      <c r="AN1046" s="513" t="s">
        <v>907</v>
      </c>
      <c r="AO1046" s="513"/>
      <c r="AP1046" s="513"/>
      <c r="AQ1046" s="513"/>
      <c r="AR1046" s="513"/>
      <c r="AS1046" s="513"/>
      <c r="AT1046" s="25"/>
      <c r="AU1046" s="25"/>
      <c r="AV1046" s="25"/>
      <c r="AW1046" s="25"/>
      <c r="AX1046" s="25"/>
    </row>
    <row r="1047" spans="1:50" s="35" customFormat="1" ht="15" customHeight="1" x14ac:dyDescent="0.2">
      <c r="A1047" s="25"/>
      <c r="B1047" s="25"/>
      <c r="C1047" s="739" t="s">
        <v>1914</v>
      </c>
      <c r="D1047" s="739"/>
      <c r="E1047" s="739"/>
      <c r="F1047" s="739"/>
      <c r="G1047" s="739"/>
      <c r="H1047" s="739"/>
      <c r="I1047" s="739"/>
      <c r="J1047" s="739"/>
      <c r="K1047" s="739"/>
      <c r="L1047" s="739"/>
      <c r="M1047" s="739"/>
      <c r="N1047" s="739"/>
      <c r="O1047" s="739"/>
      <c r="P1047" s="739"/>
      <c r="Q1047" s="739"/>
      <c r="R1047" s="739"/>
      <c r="S1047" s="739"/>
      <c r="T1047" s="739"/>
      <c r="U1047" s="739"/>
      <c r="V1047" s="739"/>
      <c r="W1047" s="739"/>
      <c r="X1047" s="739"/>
      <c r="Y1047" s="739"/>
      <c r="Z1047" s="739"/>
      <c r="AA1047" s="739"/>
      <c r="AB1047" s="739"/>
      <c r="AC1047" s="739"/>
      <c r="AD1047" s="739"/>
      <c r="AE1047" s="739"/>
      <c r="AF1047" s="739"/>
      <c r="AG1047" s="739"/>
      <c r="AH1047" s="739"/>
      <c r="AI1047" s="739"/>
      <c r="AJ1047" s="739"/>
      <c r="AK1047" s="739"/>
      <c r="AL1047" s="739"/>
      <c r="AM1047" s="739"/>
      <c r="AN1047" s="739"/>
      <c r="AO1047" s="739"/>
      <c r="AP1047" s="739"/>
      <c r="AQ1047" s="739"/>
      <c r="AR1047" s="739"/>
      <c r="AS1047" s="739"/>
      <c r="AT1047" s="25"/>
      <c r="AU1047" s="25"/>
      <c r="AV1047" s="25"/>
      <c r="AW1047" s="25"/>
      <c r="AX1047" s="25"/>
    </row>
    <row r="1048" spans="1:50" s="35" customFormat="1" ht="15" customHeight="1" x14ac:dyDescent="0.25">
      <c r="A1048" s="25"/>
      <c r="B1048" s="25"/>
      <c r="C1048" s="508">
        <v>15</v>
      </c>
      <c r="D1048" s="508"/>
      <c r="E1048" s="513" t="s">
        <v>1898</v>
      </c>
      <c r="F1048" s="513"/>
      <c r="G1048" s="513"/>
      <c r="H1048" s="513"/>
      <c r="I1048" s="513"/>
      <c r="J1048" s="512" t="s">
        <v>1469</v>
      </c>
      <c r="K1048" s="512"/>
      <c r="L1048" s="512"/>
      <c r="M1048" s="512"/>
      <c r="N1048" s="512"/>
      <c r="O1048" s="512"/>
      <c r="P1048" s="512"/>
      <c r="Q1048" s="512"/>
      <c r="R1048" s="512"/>
      <c r="S1048" s="512"/>
      <c r="T1048" s="512"/>
      <c r="U1048" s="512"/>
      <c r="V1048" s="512"/>
      <c r="W1048" s="512"/>
      <c r="X1048" s="512"/>
      <c r="Y1048" s="507" t="s">
        <v>1487</v>
      </c>
      <c r="Z1048" s="507"/>
      <c r="AA1048" s="507"/>
      <c r="AB1048" s="507" t="s">
        <v>1488</v>
      </c>
      <c r="AC1048" s="507"/>
      <c r="AD1048" s="507"/>
      <c r="AE1048" s="507">
        <v>110</v>
      </c>
      <c r="AF1048" s="507"/>
      <c r="AG1048" s="507"/>
      <c r="AH1048" s="507">
        <v>1.5</v>
      </c>
      <c r="AI1048" s="507"/>
      <c r="AJ1048" s="507"/>
      <c r="AK1048" s="507" t="s">
        <v>1490</v>
      </c>
      <c r="AL1048" s="507"/>
      <c r="AM1048" s="507"/>
      <c r="AN1048" s="516">
        <f>VLOOKUP(E1048,'Выгрузка из 1С'!$B$4:$K$2000,10,FALSE)</f>
        <v>1481.2</v>
      </c>
      <c r="AO1048" s="516"/>
      <c r="AP1048" s="516"/>
      <c r="AQ1048" s="516"/>
      <c r="AR1048" s="516"/>
      <c r="AS1048" s="516"/>
      <c r="AT1048" s="25"/>
      <c r="AU1048" s="25"/>
      <c r="AV1048" s="25"/>
      <c r="AW1048" s="25"/>
      <c r="AX1048" s="25"/>
    </row>
    <row r="1049" spans="1:50" s="35" customFormat="1" ht="15" customHeight="1" x14ac:dyDescent="0.25">
      <c r="A1049" s="25"/>
      <c r="B1049" s="25"/>
      <c r="C1049" s="508">
        <v>15</v>
      </c>
      <c r="D1049" s="508"/>
      <c r="E1049" s="513" t="s">
        <v>1755</v>
      </c>
      <c r="F1049" s="513"/>
      <c r="G1049" s="513"/>
      <c r="H1049" s="513"/>
      <c r="I1049" s="513"/>
      <c r="J1049" s="512" t="s">
        <v>1470</v>
      </c>
      <c r="K1049" s="512"/>
      <c r="L1049" s="512"/>
      <c r="M1049" s="512"/>
      <c r="N1049" s="512"/>
      <c r="O1049" s="512"/>
      <c r="P1049" s="512"/>
      <c r="Q1049" s="512"/>
      <c r="R1049" s="512"/>
      <c r="S1049" s="512"/>
      <c r="T1049" s="512"/>
      <c r="U1049" s="512"/>
      <c r="V1049" s="512"/>
      <c r="W1049" s="512"/>
      <c r="X1049" s="512"/>
      <c r="Y1049" s="507" t="s">
        <v>1487</v>
      </c>
      <c r="Z1049" s="507"/>
      <c r="AA1049" s="507"/>
      <c r="AB1049" s="507" t="s">
        <v>1488</v>
      </c>
      <c r="AC1049" s="507"/>
      <c r="AD1049" s="507"/>
      <c r="AE1049" s="507">
        <v>110</v>
      </c>
      <c r="AF1049" s="507"/>
      <c r="AG1049" s="507"/>
      <c r="AH1049" s="507">
        <v>1.5</v>
      </c>
      <c r="AI1049" s="507"/>
      <c r="AJ1049" s="507"/>
      <c r="AK1049" s="507" t="s">
        <v>1490</v>
      </c>
      <c r="AL1049" s="507"/>
      <c r="AM1049" s="507"/>
      <c r="AN1049" s="516">
        <f>VLOOKUP(E1049,'Выгрузка из 1С'!$B$4:$K$2000,10,FALSE)</f>
        <v>1239</v>
      </c>
      <c r="AO1049" s="516"/>
      <c r="AP1049" s="516"/>
      <c r="AQ1049" s="516"/>
      <c r="AR1049" s="516"/>
      <c r="AS1049" s="516"/>
      <c r="AT1049" s="25"/>
      <c r="AU1049" s="25"/>
      <c r="AV1049" s="25"/>
      <c r="AW1049" s="25"/>
      <c r="AX1049" s="25"/>
    </row>
    <row r="1050" spans="1:50" s="35" customFormat="1" ht="15" customHeight="1" x14ac:dyDescent="0.25">
      <c r="A1050" s="25"/>
      <c r="B1050" s="25"/>
      <c r="C1050" s="508">
        <v>15</v>
      </c>
      <c r="D1050" s="508"/>
      <c r="E1050" s="513" t="s">
        <v>1756</v>
      </c>
      <c r="F1050" s="513"/>
      <c r="G1050" s="513"/>
      <c r="H1050" s="513"/>
      <c r="I1050" s="513"/>
      <c r="J1050" s="512" t="s">
        <v>1471</v>
      </c>
      <c r="K1050" s="512"/>
      <c r="L1050" s="512"/>
      <c r="M1050" s="512"/>
      <c r="N1050" s="512"/>
      <c r="O1050" s="512"/>
      <c r="P1050" s="512"/>
      <c r="Q1050" s="512"/>
      <c r="R1050" s="512"/>
      <c r="S1050" s="512"/>
      <c r="T1050" s="512"/>
      <c r="U1050" s="512"/>
      <c r="V1050" s="512"/>
      <c r="W1050" s="512"/>
      <c r="X1050" s="512"/>
      <c r="Y1050" s="507" t="s">
        <v>1487</v>
      </c>
      <c r="Z1050" s="507"/>
      <c r="AA1050" s="507"/>
      <c r="AB1050" s="507" t="s">
        <v>1488</v>
      </c>
      <c r="AC1050" s="507"/>
      <c r="AD1050" s="507"/>
      <c r="AE1050" s="507">
        <v>110</v>
      </c>
      <c r="AF1050" s="507"/>
      <c r="AG1050" s="507"/>
      <c r="AH1050" s="507">
        <v>1.5</v>
      </c>
      <c r="AI1050" s="507"/>
      <c r="AJ1050" s="507"/>
      <c r="AK1050" s="507" t="s">
        <v>1490</v>
      </c>
      <c r="AL1050" s="507"/>
      <c r="AM1050" s="507"/>
      <c r="AN1050" s="516">
        <f>VLOOKUP(E1050,'Выгрузка из 1С'!$B$4:$K$2000,10,FALSE)</f>
        <v>1737.4</v>
      </c>
      <c r="AO1050" s="516"/>
      <c r="AP1050" s="516"/>
      <c r="AQ1050" s="516"/>
      <c r="AR1050" s="516"/>
      <c r="AS1050" s="516"/>
      <c r="AT1050" s="25"/>
      <c r="AU1050" s="25"/>
      <c r="AV1050" s="25"/>
      <c r="AW1050" s="25"/>
      <c r="AX1050" s="25"/>
    </row>
    <row r="1051" spans="1:50" s="35" customFormat="1" ht="15" customHeight="1" x14ac:dyDescent="0.25">
      <c r="A1051" s="25"/>
      <c r="B1051" s="25"/>
      <c r="C1051" s="508">
        <v>15</v>
      </c>
      <c r="D1051" s="508"/>
      <c r="E1051" s="513" t="s">
        <v>1748</v>
      </c>
      <c r="F1051" s="513"/>
      <c r="G1051" s="513"/>
      <c r="H1051" s="513"/>
      <c r="I1051" s="513"/>
      <c r="J1051" s="512" t="s">
        <v>1472</v>
      </c>
      <c r="K1051" s="512"/>
      <c r="L1051" s="512"/>
      <c r="M1051" s="512"/>
      <c r="N1051" s="512"/>
      <c r="O1051" s="512"/>
      <c r="P1051" s="512"/>
      <c r="Q1051" s="512"/>
      <c r="R1051" s="512"/>
      <c r="S1051" s="512"/>
      <c r="T1051" s="512"/>
      <c r="U1051" s="512"/>
      <c r="V1051" s="512"/>
      <c r="W1051" s="512"/>
      <c r="X1051" s="512"/>
      <c r="Y1051" s="507" t="s">
        <v>1487</v>
      </c>
      <c r="Z1051" s="507"/>
      <c r="AA1051" s="507"/>
      <c r="AB1051" s="507" t="s">
        <v>1489</v>
      </c>
      <c r="AC1051" s="507"/>
      <c r="AD1051" s="507"/>
      <c r="AE1051" s="507">
        <v>110</v>
      </c>
      <c r="AF1051" s="507"/>
      <c r="AG1051" s="507"/>
      <c r="AH1051" s="507">
        <v>1.5</v>
      </c>
      <c r="AI1051" s="507"/>
      <c r="AJ1051" s="507"/>
      <c r="AK1051" s="507" t="s">
        <v>1490</v>
      </c>
      <c r="AL1051" s="507"/>
      <c r="AM1051" s="507"/>
      <c r="AN1051" s="516">
        <f>VLOOKUP(E1051,'Выгрузка из 1С'!$B$4:$K$2000,10,FALSE)</f>
        <v>2396.8000000000002</v>
      </c>
      <c r="AO1051" s="516"/>
      <c r="AP1051" s="516"/>
      <c r="AQ1051" s="516"/>
      <c r="AR1051" s="516"/>
      <c r="AS1051" s="516"/>
      <c r="AT1051" s="25"/>
      <c r="AU1051" s="25"/>
      <c r="AV1051" s="25"/>
      <c r="AW1051" s="25"/>
      <c r="AX1051" s="25"/>
    </row>
    <row r="1052" spans="1:50" s="35" customFormat="1" ht="15" customHeight="1" x14ac:dyDescent="0.25">
      <c r="A1052" s="25"/>
      <c r="B1052" s="25"/>
      <c r="C1052" s="508">
        <v>15</v>
      </c>
      <c r="D1052" s="508"/>
      <c r="E1052" s="513" t="s">
        <v>1706</v>
      </c>
      <c r="F1052" s="513"/>
      <c r="G1052" s="513"/>
      <c r="H1052" s="513"/>
      <c r="I1052" s="513"/>
      <c r="J1052" s="512" t="s">
        <v>1473</v>
      </c>
      <c r="K1052" s="512"/>
      <c r="L1052" s="512"/>
      <c r="M1052" s="512"/>
      <c r="N1052" s="512"/>
      <c r="O1052" s="512"/>
      <c r="P1052" s="512"/>
      <c r="Q1052" s="512"/>
      <c r="R1052" s="512"/>
      <c r="S1052" s="512"/>
      <c r="T1052" s="512"/>
      <c r="U1052" s="512"/>
      <c r="V1052" s="512"/>
      <c r="W1052" s="512"/>
      <c r="X1052" s="512"/>
      <c r="Y1052" s="507" t="s">
        <v>1487</v>
      </c>
      <c r="Z1052" s="507"/>
      <c r="AA1052" s="507"/>
      <c r="AB1052" s="507" t="s">
        <v>1488</v>
      </c>
      <c r="AC1052" s="507"/>
      <c r="AD1052" s="507"/>
      <c r="AE1052" s="507">
        <v>80</v>
      </c>
      <c r="AF1052" s="507"/>
      <c r="AG1052" s="507"/>
      <c r="AH1052" s="507">
        <v>1.5</v>
      </c>
      <c r="AI1052" s="507"/>
      <c r="AJ1052" s="507"/>
      <c r="AK1052" s="507" t="s">
        <v>1490</v>
      </c>
      <c r="AL1052" s="507"/>
      <c r="AM1052" s="507"/>
      <c r="AN1052" s="516">
        <f>VLOOKUP(E1052,'Выгрузка из 1С'!$B$4:$K$2000,10,FALSE)</f>
        <v>1409.8</v>
      </c>
      <c r="AO1052" s="516"/>
      <c r="AP1052" s="516"/>
      <c r="AQ1052" s="516"/>
      <c r="AR1052" s="516"/>
      <c r="AS1052" s="516"/>
      <c r="AT1052" s="25"/>
      <c r="AU1052" s="25"/>
      <c r="AV1052" s="25"/>
      <c r="AW1052" s="25"/>
      <c r="AX1052" s="25"/>
    </row>
    <row r="1053" spans="1:50" s="35" customFormat="1" ht="15" customHeight="1" x14ac:dyDescent="0.25">
      <c r="A1053" s="25"/>
      <c r="B1053" s="25"/>
      <c r="C1053" s="508">
        <v>15</v>
      </c>
      <c r="D1053" s="508"/>
      <c r="E1053" s="513" t="s">
        <v>1705</v>
      </c>
      <c r="F1053" s="513"/>
      <c r="G1053" s="513"/>
      <c r="H1053" s="513"/>
      <c r="I1053" s="513"/>
      <c r="J1053" s="512" t="s">
        <v>1474</v>
      </c>
      <c r="K1053" s="512"/>
      <c r="L1053" s="512"/>
      <c r="M1053" s="512"/>
      <c r="N1053" s="512"/>
      <c r="O1053" s="512"/>
      <c r="P1053" s="512"/>
      <c r="Q1053" s="512"/>
      <c r="R1053" s="512"/>
      <c r="S1053" s="512"/>
      <c r="T1053" s="512"/>
      <c r="U1053" s="512"/>
      <c r="V1053" s="512"/>
      <c r="W1053" s="512"/>
      <c r="X1053" s="512"/>
      <c r="Y1053" s="507" t="s">
        <v>1487</v>
      </c>
      <c r="Z1053" s="507"/>
      <c r="AA1053" s="507"/>
      <c r="AB1053" s="507" t="s">
        <v>1488</v>
      </c>
      <c r="AC1053" s="507"/>
      <c r="AD1053" s="507"/>
      <c r="AE1053" s="507">
        <v>80</v>
      </c>
      <c r="AF1053" s="507"/>
      <c r="AG1053" s="507"/>
      <c r="AH1053" s="507">
        <v>1.5</v>
      </c>
      <c r="AI1053" s="507"/>
      <c r="AJ1053" s="507"/>
      <c r="AK1053" s="507" t="s">
        <v>1490</v>
      </c>
      <c r="AL1053" s="507"/>
      <c r="AM1053" s="507"/>
      <c r="AN1053" s="516">
        <f>VLOOKUP(E1053,'Выгрузка из 1С'!$B$4:$K$2000,10,FALSE)</f>
        <v>1666</v>
      </c>
      <c r="AO1053" s="516"/>
      <c r="AP1053" s="516"/>
      <c r="AQ1053" s="516"/>
      <c r="AR1053" s="516"/>
      <c r="AS1053" s="516"/>
      <c r="AT1053" s="25"/>
      <c r="AU1053" s="25"/>
      <c r="AV1053" s="25"/>
      <c r="AW1053" s="25"/>
      <c r="AX1053" s="25"/>
    </row>
    <row r="1054" spans="1:50" s="35" customFormat="1" ht="15" customHeight="1" x14ac:dyDescent="0.25">
      <c r="A1054" s="25"/>
      <c r="B1054" s="25"/>
      <c r="C1054" s="508">
        <v>15</v>
      </c>
      <c r="D1054" s="508"/>
      <c r="E1054" s="513" t="s">
        <v>1805</v>
      </c>
      <c r="F1054" s="513"/>
      <c r="G1054" s="513"/>
      <c r="H1054" s="513"/>
      <c r="I1054" s="513"/>
      <c r="J1054" s="512" t="s">
        <v>1475</v>
      </c>
      <c r="K1054" s="512"/>
      <c r="L1054" s="512"/>
      <c r="M1054" s="512"/>
      <c r="N1054" s="512"/>
      <c r="O1054" s="512"/>
      <c r="P1054" s="512"/>
      <c r="Q1054" s="512"/>
      <c r="R1054" s="512"/>
      <c r="S1054" s="512"/>
      <c r="T1054" s="512"/>
      <c r="U1054" s="512"/>
      <c r="V1054" s="512"/>
      <c r="W1054" s="512"/>
      <c r="X1054" s="512"/>
      <c r="Y1054" s="507" t="s">
        <v>1487</v>
      </c>
      <c r="Z1054" s="507"/>
      <c r="AA1054" s="507"/>
      <c r="AB1054" s="507" t="s">
        <v>1488</v>
      </c>
      <c r="AC1054" s="507"/>
      <c r="AD1054" s="507"/>
      <c r="AE1054" s="507">
        <v>110</v>
      </c>
      <c r="AF1054" s="507"/>
      <c r="AG1054" s="507"/>
      <c r="AH1054" s="507">
        <v>1.5</v>
      </c>
      <c r="AI1054" s="507"/>
      <c r="AJ1054" s="507"/>
      <c r="AK1054" s="507" t="s">
        <v>1490</v>
      </c>
      <c r="AL1054" s="507"/>
      <c r="AM1054" s="507"/>
      <c r="AN1054" s="516">
        <f>VLOOKUP(E1054,'Выгрузка из 1С'!$B$4:$K$2000,10,FALSE)</f>
        <v>2035.6</v>
      </c>
      <c r="AO1054" s="516"/>
      <c r="AP1054" s="516"/>
      <c r="AQ1054" s="516"/>
      <c r="AR1054" s="516"/>
      <c r="AS1054" s="516"/>
      <c r="AT1054" s="25"/>
      <c r="AU1054" s="25"/>
      <c r="AV1054" s="25"/>
      <c r="AW1054" s="25"/>
      <c r="AX1054" s="25"/>
    </row>
    <row r="1055" spans="1:50" s="35" customFormat="1" ht="15" customHeight="1" x14ac:dyDescent="0.25">
      <c r="A1055" s="25"/>
      <c r="B1055" s="25"/>
      <c r="C1055" s="508">
        <v>15</v>
      </c>
      <c r="D1055" s="508"/>
      <c r="E1055" s="513" t="s">
        <v>1715</v>
      </c>
      <c r="F1055" s="513"/>
      <c r="G1055" s="513"/>
      <c r="H1055" s="513"/>
      <c r="I1055" s="513"/>
      <c r="J1055" s="512" t="s">
        <v>1476</v>
      </c>
      <c r="K1055" s="512"/>
      <c r="L1055" s="512"/>
      <c r="M1055" s="512"/>
      <c r="N1055" s="512"/>
      <c r="O1055" s="512"/>
      <c r="P1055" s="512"/>
      <c r="Q1055" s="512"/>
      <c r="R1055" s="512"/>
      <c r="S1055" s="512"/>
      <c r="T1055" s="512"/>
      <c r="U1055" s="512"/>
      <c r="V1055" s="512"/>
      <c r="W1055" s="512"/>
      <c r="X1055" s="512"/>
      <c r="Y1055" s="507" t="s">
        <v>1487</v>
      </c>
      <c r="Z1055" s="507"/>
      <c r="AA1055" s="507"/>
      <c r="AB1055" s="507" t="s">
        <v>1489</v>
      </c>
      <c r="AC1055" s="507"/>
      <c r="AD1055" s="507"/>
      <c r="AE1055" s="507">
        <v>110</v>
      </c>
      <c r="AF1055" s="507"/>
      <c r="AG1055" s="507"/>
      <c r="AH1055" s="507">
        <v>1.5</v>
      </c>
      <c r="AI1055" s="507"/>
      <c r="AJ1055" s="507"/>
      <c r="AK1055" s="507" t="s">
        <v>1490</v>
      </c>
      <c r="AL1055" s="507"/>
      <c r="AM1055" s="507"/>
      <c r="AN1055" s="516">
        <f>VLOOKUP(E1055,'Выгрузка из 1С'!$B$4:$K$2000,10,FALSE)</f>
        <v>2991.8</v>
      </c>
      <c r="AO1055" s="516"/>
      <c r="AP1055" s="516"/>
      <c r="AQ1055" s="516"/>
      <c r="AR1055" s="516"/>
      <c r="AS1055" s="516"/>
      <c r="AT1055" s="25"/>
      <c r="AU1055" s="25"/>
      <c r="AV1055" s="25"/>
      <c r="AW1055" s="25"/>
      <c r="AX1055" s="25"/>
    </row>
    <row r="1056" spans="1:50" s="35" customFormat="1" ht="15" customHeight="1" x14ac:dyDescent="0.25">
      <c r="A1056" s="25"/>
      <c r="B1056" s="25"/>
      <c r="C1056" s="508">
        <v>15</v>
      </c>
      <c r="D1056" s="508"/>
      <c r="E1056" s="513" t="s">
        <v>1714</v>
      </c>
      <c r="F1056" s="513"/>
      <c r="G1056" s="513"/>
      <c r="H1056" s="513"/>
      <c r="I1056" s="513"/>
      <c r="J1056" s="512" t="s">
        <v>1477</v>
      </c>
      <c r="K1056" s="512"/>
      <c r="L1056" s="512"/>
      <c r="M1056" s="512"/>
      <c r="N1056" s="512"/>
      <c r="O1056" s="512"/>
      <c r="P1056" s="512"/>
      <c r="Q1056" s="512"/>
      <c r="R1056" s="512"/>
      <c r="S1056" s="512"/>
      <c r="T1056" s="512"/>
      <c r="U1056" s="512"/>
      <c r="V1056" s="512"/>
      <c r="W1056" s="512"/>
      <c r="X1056" s="512"/>
      <c r="Y1056" s="507" t="s">
        <v>1487</v>
      </c>
      <c r="Z1056" s="507"/>
      <c r="AA1056" s="507"/>
      <c r="AB1056" s="507" t="s">
        <v>1488</v>
      </c>
      <c r="AC1056" s="507"/>
      <c r="AD1056" s="507"/>
      <c r="AE1056" s="507">
        <v>110</v>
      </c>
      <c r="AF1056" s="507"/>
      <c r="AG1056" s="507"/>
      <c r="AH1056" s="507">
        <v>1.5</v>
      </c>
      <c r="AI1056" s="507"/>
      <c r="AJ1056" s="507"/>
      <c r="AK1056" s="507" t="s">
        <v>1490</v>
      </c>
      <c r="AL1056" s="507"/>
      <c r="AM1056" s="507"/>
      <c r="AN1056" s="516">
        <f>VLOOKUP(E1056,'Выгрузка из 1С'!$B$4:$K$2000,10,FALSE)</f>
        <v>1779.4</v>
      </c>
      <c r="AO1056" s="516"/>
      <c r="AP1056" s="516"/>
      <c r="AQ1056" s="516"/>
      <c r="AR1056" s="516"/>
      <c r="AS1056" s="516"/>
      <c r="AT1056" s="25"/>
      <c r="AU1056" s="25"/>
      <c r="AV1056" s="25"/>
      <c r="AW1056" s="25"/>
      <c r="AX1056" s="25"/>
    </row>
    <row r="1057" spans="1:50" s="35" customFormat="1" ht="15" customHeight="1" x14ac:dyDescent="0.25">
      <c r="A1057" s="25"/>
      <c r="B1057" s="25"/>
      <c r="C1057" s="508">
        <v>15</v>
      </c>
      <c r="D1057" s="508"/>
      <c r="E1057" s="513" t="s">
        <v>1717</v>
      </c>
      <c r="F1057" s="513"/>
      <c r="G1057" s="513"/>
      <c r="H1057" s="513"/>
      <c r="I1057" s="513"/>
      <c r="J1057" s="512" t="s">
        <v>1478</v>
      </c>
      <c r="K1057" s="512"/>
      <c r="L1057" s="512"/>
      <c r="M1057" s="512"/>
      <c r="N1057" s="512"/>
      <c r="O1057" s="512"/>
      <c r="P1057" s="512"/>
      <c r="Q1057" s="512"/>
      <c r="R1057" s="512"/>
      <c r="S1057" s="512"/>
      <c r="T1057" s="512"/>
      <c r="U1057" s="512"/>
      <c r="V1057" s="512"/>
      <c r="W1057" s="512"/>
      <c r="X1057" s="512"/>
      <c r="Y1057" s="507" t="s">
        <v>1487</v>
      </c>
      <c r="Z1057" s="507"/>
      <c r="AA1057" s="507"/>
      <c r="AB1057" s="507" t="s">
        <v>1488</v>
      </c>
      <c r="AC1057" s="507"/>
      <c r="AD1057" s="507"/>
      <c r="AE1057" s="507">
        <v>110</v>
      </c>
      <c r="AF1057" s="507"/>
      <c r="AG1057" s="507"/>
      <c r="AH1057" s="507">
        <v>1.5</v>
      </c>
      <c r="AI1057" s="507"/>
      <c r="AJ1057" s="507"/>
      <c r="AK1057" s="507" t="s">
        <v>1490</v>
      </c>
      <c r="AL1057" s="507"/>
      <c r="AM1057" s="507"/>
      <c r="AN1057" s="516">
        <f>VLOOKUP(E1057,'Выгрузка из 1С'!$B$4:$K$2000,10,FALSE)</f>
        <v>2291.8000000000002</v>
      </c>
      <c r="AO1057" s="516"/>
      <c r="AP1057" s="516"/>
      <c r="AQ1057" s="516"/>
      <c r="AR1057" s="516"/>
      <c r="AS1057" s="516"/>
      <c r="AT1057" s="25"/>
      <c r="AU1057" s="25"/>
      <c r="AV1057" s="25"/>
      <c r="AW1057" s="25"/>
      <c r="AX1057" s="25"/>
    </row>
    <row r="1058" spans="1:50" s="35" customFormat="1" ht="15" customHeight="1" x14ac:dyDescent="0.25">
      <c r="A1058" s="25"/>
      <c r="B1058" s="25"/>
      <c r="C1058" s="508">
        <v>15</v>
      </c>
      <c r="D1058" s="508"/>
      <c r="E1058" s="513" t="s">
        <v>1719</v>
      </c>
      <c r="F1058" s="513"/>
      <c r="G1058" s="513"/>
      <c r="H1058" s="513"/>
      <c r="I1058" s="513"/>
      <c r="J1058" s="512" t="s">
        <v>1479</v>
      </c>
      <c r="K1058" s="512"/>
      <c r="L1058" s="512"/>
      <c r="M1058" s="512"/>
      <c r="N1058" s="512"/>
      <c r="O1058" s="512"/>
      <c r="P1058" s="512"/>
      <c r="Q1058" s="512"/>
      <c r="R1058" s="512"/>
      <c r="S1058" s="512"/>
      <c r="T1058" s="512"/>
      <c r="U1058" s="512"/>
      <c r="V1058" s="512"/>
      <c r="W1058" s="512"/>
      <c r="X1058" s="512"/>
      <c r="Y1058" s="507" t="s">
        <v>1487</v>
      </c>
      <c r="Z1058" s="507"/>
      <c r="AA1058" s="507"/>
      <c r="AB1058" s="507" t="s">
        <v>1488</v>
      </c>
      <c r="AC1058" s="507"/>
      <c r="AD1058" s="507"/>
      <c r="AE1058" s="507">
        <v>80</v>
      </c>
      <c r="AF1058" s="507"/>
      <c r="AG1058" s="507"/>
      <c r="AH1058" s="507">
        <v>1.5</v>
      </c>
      <c r="AI1058" s="507"/>
      <c r="AJ1058" s="507"/>
      <c r="AK1058" s="507" t="s">
        <v>1490</v>
      </c>
      <c r="AL1058" s="507"/>
      <c r="AM1058" s="507"/>
      <c r="AN1058" s="516">
        <f>VLOOKUP(E1058,'Выгрузка из 1С'!$B$4:$K$2000,10,FALSE)</f>
        <v>1979.6</v>
      </c>
      <c r="AO1058" s="516"/>
      <c r="AP1058" s="516"/>
      <c r="AQ1058" s="516"/>
      <c r="AR1058" s="516"/>
      <c r="AS1058" s="516"/>
      <c r="AT1058" s="25"/>
      <c r="AU1058" s="25"/>
      <c r="AV1058" s="25"/>
      <c r="AW1058" s="25"/>
      <c r="AX1058" s="25"/>
    </row>
    <row r="1059" spans="1:50" s="35" customFormat="1" ht="15" customHeight="1" x14ac:dyDescent="0.25">
      <c r="A1059" s="25"/>
      <c r="B1059" s="25"/>
      <c r="C1059" s="508">
        <v>15</v>
      </c>
      <c r="D1059" s="508"/>
      <c r="E1059" s="513" t="s">
        <v>1718</v>
      </c>
      <c r="F1059" s="513"/>
      <c r="G1059" s="513"/>
      <c r="H1059" s="513"/>
      <c r="I1059" s="513"/>
      <c r="J1059" s="512" t="s">
        <v>1480</v>
      </c>
      <c r="K1059" s="512"/>
      <c r="L1059" s="512"/>
      <c r="M1059" s="512"/>
      <c r="N1059" s="512"/>
      <c r="O1059" s="512"/>
      <c r="P1059" s="512"/>
      <c r="Q1059" s="512"/>
      <c r="R1059" s="512"/>
      <c r="S1059" s="512"/>
      <c r="T1059" s="512"/>
      <c r="U1059" s="512"/>
      <c r="V1059" s="512"/>
      <c r="W1059" s="512"/>
      <c r="X1059" s="512"/>
      <c r="Y1059" s="507" t="s">
        <v>1487</v>
      </c>
      <c r="Z1059" s="507"/>
      <c r="AA1059" s="507"/>
      <c r="AB1059" s="507" t="s">
        <v>1488</v>
      </c>
      <c r="AC1059" s="507"/>
      <c r="AD1059" s="507"/>
      <c r="AE1059" s="507">
        <v>80</v>
      </c>
      <c r="AF1059" s="507"/>
      <c r="AG1059" s="507"/>
      <c r="AH1059" s="507">
        <v>1.5</v>
      </c>
      <c r="AI1059" s="507"/>
      <c r="AJ1059" s="507"/>
      <c r="AK1059" s="507" t="s">
        <v>1490</v>
      </c>
      <c r="AL1059" s="507"/>
      <c r="AM1059" s="507"/>
      <c r="AN1059" s="516">
        <f>VLOOKUP(E1059,'Выгрузка из 1С'!$B$4:$K$2000,10,FALSE)</f>
        <v>2235.8000000000002</v>
      </c>
      <c r="AO1059" s="516"/>
      <c r="AP1059" s="516"/>
      <c r="AQ1059" s="516"/>
      <c r="AR1059" s="516"/>
      <c r="AS1059" s="516"/>
      <c r="AT1059" s="25"/>
      <c r="AU1059" s="25"/>
      <c r="AV1059" s="25"/>
      <c r="AW1059" s="25"/>
      <c r="AX1059" s="25"/>
    </row>
    <row r="1060" spans="1:50" s="35" customFormat="1" ht="15" customHeight="1" x14ac:dyDescent="0.25">
      <c r="A1060" s="25"/>
      <c r="B1060" s="25"/>
      <c r="C1060" s="508">
        <v>20</v>
      </c>
      <c r="D1060" s="508"/>
      <c r="E1060" s="513" t="s">
        <v>1754</v>
      </c>
      <c r="F1060" s="513"/>
      <c r="G1060" s="513"/>
      <c r="H1060" s="513"/>
      <c r="I1060" s="513"/>
      <c r="J1060" s="512" t="s">
        <v>1481</v>
      </c>
      <c r="K1060" s="512"/>
      <c r="L1060" s="512"/>
      <c r="M1060" s="512"/>
      <c r="N1060" s="512"/>
      <c r="O1060" s="512"/>
      <c r="P1060" s="512"/>
      <c r="Q1060" s="512"/>
      <c r="R1060" s="512"/>
      <c r="S1060" s="512"/>
      <c r="T1060" s="512"/>
      <c r="U1060" s="512"/>
      <c r="V1060" s="512"/>
      <c r="W1060" s="512"/>
      <c r="X1060" s="512"/>
      <c r="Y1060" s="507" t="s">
        <v>1487</v>
      </c>
      <c r="Z1060" s="507"/>
      <c r="AA1060" s="507"/>
      <c r="AB1060" s="507" t="s">
        <v>1488</v>
      </c>
      <c r="AC1060" s="507"/>
      <c r="AD1060" s="507"/>
      <c r="AE1060" s="507">
        <v>130</v>
      </c>
      <c r="AF1060" s="507"/>
      <c r="AG1060" s="507"/>
      <c r="AH1060" s="507">
        <v>2.5</v>
      </c>
      <c r="AI1060" s="507"/>
      <c r="AJ1060" s="507"/>
      <c r="AK1060" s="507" t="s">
        <v>1490</v>
      </c>
      <c r="AL1060" s="507"/>
      <c r="AM1060" s="507"/>
      <c r="AN1060" s="516">
        <f>VLOOKUP(E1060,'Выгрузка из 1С'!$B$4:$K$2000,10,FALSE)</f>
        <v>2434.6</v>
      </c>
      <c r="AO1060" s="516"/>
      <c r="AP1060" s="516"/>
      <c r="AQ1060" s="516"/>
      <c r="AR1060" s="516"/>
      <c r="AS1060" s="516"/>
      <c r="AT1060" s="25"/>
      <c r="AU1060" s="25"/>
      <c r="AV1060" s="25"/>
      <c r="AW1060" s="25"/>
      <c r="AX1060" s="25"/>
    </row>
    <row r="1061" spans="1:50" s="35" customFormat="1" ht="15" customHeight="1" x14ac:dyDescent="0.25">
      <c r="A1061" s="25"/>
      <c r="B1061" s="25"/>
      <c r="C1061" s="508">
        <v>20</v>
      </c>
      <c r="D1061" s="508"/>
      <c r="E1061" s="513" t="s">
        <v>1753</v>
      </c>
      <c r="F1061" s="513"/>
      <c r="G1061" s="513"/>
      <c r="H1061" s="513"/>
      <c r="I1061" s="513"/>
      <c r="J1061" s="512" t="s">
        <v>1482</v>
      </c>
      <c r="K1061" s="512"/>
      <c r="L1061" s="512"/>
      <c r="M1061" s="512"/>
      <c r="N1061" s="512"/>
      <c r="O1061" s="512"/>
      <c r="P1061" s="512"/>
      <c r="Q1061" s="512"/>
      <c r="R1061" s="512"/>
      <c r="S1061" s="512"/>
      <c r="T1061" s="512"/>
      <c r="U1061" s="512"/>
      <c r="V1061" s="512"/>
      <c r="W1061" s="512"/>
      <c r="X1061" s="512"/>
      <c r="Y1061" s="507" t="s">
        <v>1487</v>
      </c>
      <c r="Z1061" s="507"/>
      <c r="AA1061" s="507"/>
      <c r="AB1061" s="507" t="s">
        <v>1488</v>
      </c>
      <c r="AC1061" s="507"/>
      <c r="AD1061" s="507"/>
      <c r="AE1061" s="507">
        <v>130</v>
      </c>
      <c r="AF1061" s="507"/>
      <c r="AG1061" s="507"/>
      <c r="AH1061" s="507">
        <v>2.5</v>
      </c>
      <c r="AI1061" s="507"/>
      <c r="AJ1061" s="507"/>
      <c r="AK1061" s="507" t="s">
        <v>1490</v>
      </c>
      <c r="AL1061" s="507"/>
      <c r="AM1061" s="507"/>
      <c r="AN1061" s="516">
        <f>VLOOKUP(E1061,'Выгрузка из 1С'!$B$4:$K$2000,10,FALSE)</f>
        <v>2690.8</v>
      </c>
      <c r="AO1061" s="516"/>
      <c r="AP1061" s="516"/>
      <c r="AQ1061" s="516"/>
      <c r="AR1061" s="516"/>
      <c r="AS1061" s="516"/>
      <c r="AT1061" s="25"/>
      <c r="AU1061" s="25"/>
      <c r="AV1061" s="25"/>
      <c r="AW1061" s="25"/>
      <c r="AX1061" s="25"/>
    </row>
    <row r="1062" spans="1:50" s="35" customFormat="1" ht="15" customHeight="1" x14ac:dyDescent="0.25">
      <c r="A1062" s="25"/>
      <c r="B1062" s="25"/>
      <c r="C1062" s="508">
        <v>20</v>
      </c>
      <c r="D1062" s="508"/>
      <c r="E1062" s="513" t="s">
        <v>1745</v>
      </c>
      <c r="F1062" s="513"/>
      <c r="G1062" s="513"/>
      <c r="H1062" s="513"/>
      <c r="I1062" s="513"/>
      <c r="J1062" s="512" t="s">
        <v>1483</v>
      </c>
      <c r="K1062" s="512"/>
      <c r="L1062" s="512"/>
      <c r="M1062" s="512"/>
      <c r="N1062" s="512"/>
      <c r="O1062" s="512"/>
      <c r="P1062" s="512"/>
      <c r="Q1062" s="512"/>
      <c r="R1062" s="512"/>
      <c r="S1062" s="512"/>
      <c r="T1062" s="512"/>
      <c r="U1062" s="512"/>
      <c r="V1062" s="512"/>
      <c r="W1062" s="512"/>
      <c r="X1062" s="512"/>
      <c r="Y1062" s="507" t="s">
        <v>1487</v>
      </c>
      <c r="Z1062" s="507"/>
      <c r="AA1062" s="507"/>
      <c r="AB1062" s="507" t="s">
        <v>1489</v>
      </c>
      <c r="AC1062" s="507"/>
      <c r="AD1062" s="507"/>
      <c r="AE1062" s="507">
        <v>130</v>
      </c>
      <c r="AF1062" s="507"/>
      <c r="AG1062" s="507"/>
      <c r="AH1062" s="507">
        <v>2.5</v>
      </c>
      <c r="AI1062" s="507"/>
      <c r="AJ1062" s="507"/>
      <c r="AK1062" s="507" t="s">
        <v>1490</v>
      </c>
      <c r="AL1062" s="507"/>
      <c r="AM1062" s="507"/>
      <c r="AN1062" s="516">
        <f>VLOOKUP(E1062,'Выгрузка из 1С'!$B$4:$K$2000,10,FALSE)</f>
        <v>3746.4</v>
      </c>
      <c r="AO1062" s="516"/>
      <c r="AP1062" s="516"/>
      <c r="AQ1062" s="516"/>
      <c r="AR1062" s="516"/>
      <c r="AS1062" s="516"/>
      <c r="AT1062" s="25"/>
      <c r="AU1062" s="25"/>
      <c r="AV1062" s="25"/>
      <c r="AW1062" s="25"/>
      <c r="AX1062" s="25"/>
    </row>
    <row r="1063" spans="1:50" s="35" customFormat="1" ht="15" customHeight="1" x14ac:dyDescent="0.25">
      <c r="A1063" s="25"/>
      <c r="B1063" s="25"/>
      <c r="C1063" s="508">
        <v>20</v>
      </c>
      <c r="D1063" s="508"/>
      <c r="E1063" s="513" t="s">
        <v>1899</v>
      </c>
      <c r="F1063" s="513"/>
      <c r="G1063" s="513"/>
      <c r="H1063" s="513"/>
      <c r="I1063" s="513"/>
      <c r="J1063" s="512" t="s">
        <v>1484</v>
      </c>
      <c r="K1063" s="512"/>
      <c r="L1063" s="512"/>
      <c r="M1063" s="512"/>
      <c r="N1063" s="512"/>
      <c r="O1063" s="512"/>
      <c r="P1063" s="512"/>
      <c r="Q1063" s="512"/>
      <c r="R1063" s="512"/>
      <c r="S1063" s="512"/>
      <c r="T1063" s="512"/>
      <c r="U1063" s="512"/>
      <c r="V1063" s="512"/>
      <c r="W1063" s="512"/>
      <c r="X1063" s="512"/>
      <c r="Y1063" s="507" t="s">
        <v>1487</v>
      </c>
      <c r="Z1063" s="507"/>
      <c r="AA1063" s="507"/>
      <c r="AB1063" s="507" t="s">
        <v>1488</v>
      </c>
      <c r="AC1063" s="507"/>
      <c r="AD1063" s="507"/>
      <c r="AE1063" s="507">
        <v>130</v>
      </c>
      <c r="AF1063" s="507"/>
      <c r="AG1063" s="507"/>
      <c r="AH1063" s="507">
        <v>2.5</v>
      </c>
      <c r="AI1063" s="507"/>
      <c r="AJ1063" s="507"/>
      <c r="AK1063" s="507" t="s">
        <v>1490</v>
      </c>
      <c r="AL1063" s="507"/>
      <c r="AM1063" s="507"/>
      <c r="AN1063" s="516">
        <f>VLOOKUP(E1063,'Выгрузка из 1С'!$B$4:$K$2000,10,FALSE)</f>
        <v>3844.4</v>
      </c>
      <c r="AO1063" s="516"/>
      <c r="AP1063" s="516"/>
      <c r="AQ1063" s="516"/>
      <c r="AR1063" s="516"/>
      <c r="AS1063" s="516"/>
      <c r="AT1063" s="25"/>
      <c r="AU1063" s="25"/>
      <c r="AV1063" s="25"/>
      <c r="AW1063" s="25"/>
      <c r="AX1063" s="25"/>
    </row>
    <row r="1064" spans="1:50" s="35" customFormat="1" ht="15" customHeight="1" x14ac:dyDescent="0.25">
      <c r="A1064" s="25"/>
      <c r="B1064" s="25"/>
      <c r="C1064" s="508">
        <v>20</v>
      </c>
      <c r="D1064" s="508"/>
      <c r="E1064" s="513" t="s">
        <v>1704</v>
      </c>
      <c r="F1064" s="513"/>
      <c r="G1064" s="513"/>
      <c r="H1064" s="513"/>
      <c r="I1064" s="513"/>
      <c r="J1064" s="512" t="s">
        <v>1485</v>
      </c>
      <c r="K1064" s="512"/>
      <c r="L1064" s="512"/>
      <c r="M1064" s="512"/>
      <c r="N1064" s="512"/>
      <c r="O1064" s="512"/>
      <c r="P1064" s="512"/>
      <c r="Q1064" s="512"/>
      <c r="R1064" s="512"/>
      <c r="S1064" s="512"/>
      <c r="T1064" s="512"/>
      <c r="U1064" s="512"/>
      <c r="V1064" s="512"/>
      <c r="W1064" s="512"/>
      <c r="X1064" s="512"/>
      <c r="Y1064" s="507" t="s">
        <v>1487</v>
      </c>
      <c r="Z1064" s="507"/>
      <c r="AA1064" s="507"/>
      <c r="AB1064" s="507" t="s">
        <v>1488</v>
      </c>
      <c r="AC1064" s="507"/>
      <c r="AD1064" s="507"/>
      <c r="AE1064" s="507">
        <v>130</v>
      </c>
      <c r="AF1064" s="507"/>
      <c r="AG1064" s="507"/>
      <c r="AH1064" s="507">
        <v>2.5</v>
      </c>
      <c r="AI1064" s="507"/>
      <c r="AJ1064" s="507"/>
      <c r="AK1064" s="507" t="s">
        <v>1490</v>
      </c>
      <c r="AL1064" s="507"/>
      <c r="AM1064" s="507"/>
      <c r="AN1064" s="516">
        <f>VLOOKUP(E1064,'Выгрузка из 1С'!$B$4:$K$2000,10,FALSE)</f>
        <v>4100.6000000000004</v>
      </c>
      <c r="AO1064" s="516"/>
      <c r="AP1064" s="516"/>
      <c r="AQ1064" s="516"/>
      <c r="AR1064" s="516"/>
      <c r="AS1064" s="516"/>
      <c r="AT1064" s="25"/>
      <c r="AU1064" s="25"/>
      <c r="AV1064" s="25"/>
      <c r="AW1064" s="25"/>
      <c r="AX1064" s="25"/>
    </row>
    <row r="1065" spans="1:50" s="35" customFormat="1" ht="15" customHeight="1" x14ac:dyDescent="0.25">
      <c r="A1065" s="25"/>
      <c r="B1065" s="25"/>
      <c r="C1065" s="508">
        <v>20</v>
      </c>
      <c r="D1065" s="508"/>
      <c r="E1065" s="513" t="s">
        <v>1716</v>
      </c>
      <c r="F1065" s="513"/>
      <c r="G1065" s="513"/>
      <c r="H1065" s="513"/>
      <c r="I1065" s="513"/>
      <c r="J1065" s="512" t="s">
        <v>1486</v>
      </c>
      <c r="K1065" s="512"/>
      <c r="L1065" s="512"/>
      <c r="M1065" s="512"/>
      <c r="N1065" s="512"/>
      <c r="O1065" s="512"/>
      <c r="P1065" s="512"/>
      <c r="Q1065" s="512"/>
      <c r="R1065" s="512"/>
      <c r="S1065" s="512"/>
      <c r="T1065" s="512"/>
      <c r="U1065" s="512"/>
      <c r="V1065" s="512"/>
      <c r="W1065" s="512"/>
      <c r="X1065" s="512"/>
      <c r="Y1065" s="507" t="s">
        <v>1487</v>
      </c>
      <c r="Z1065" s="507"/>
      <c r="AA1065" s="507"/>
      <c r="AB1065" s="507" t="s">
        <v>1489</v>
      </c>
      <c r="AC1065" s="507"/>
      <c r="AD1065" s="507"/>
      <c r="AE1065" s="507">
        <v>130</v>
      </c>
      <c r="AF1065" s="507"/>
      <c r="AG1065" s="507"/>
      <c r="AH1065" s="507">
        <v>2.5</v>
      </c>
      <c r="AI1065" s="507"/>
      <c r="AJ1065" s="507"/>
      <c r="AK1065" s="507" t="s">
        <v>1490</v>
      </c>
      <c r="AL1065" s="507"/>
      <c r="AM1065" s="507"/>
      <c r="AN1065" s="516">
        <f>VLOOKUP(E1065,'Выгрузка из 1С'!$B$4:$K$2000,10,FALSE)</f>
        <v>5548.2</v>
      </c>
      <c r="AO1065" s="516"/>
      <c r="AP1065" s="516"/>
      <c r="AQ1065" s="516"/>
      <c r="AR1065" s="516"/>
      <c r="AS1065" s="516"/>
      <c r="AT1065" s="25"/>
      <c r="AU1065" s="25"/>
      <c r="AV1065" s="25"/>
      <c r="AW1065" s="25"/>
      <c r="AX1065" s="25"/>
    </row>
    <row r="1066" spans="1:50" s="35" customFormat="1" ht="15" customHeight="1" x14ac:dyDescent="0.2">
      <c r="A1066" s="305"/>
      <c r="B1066" s="25"/>
      <c r="C1066" s="511" t="s">
        <v>1915</v>
      </c>
      <c r="D1066" s="511"/>
      <c r="E1066" s="511"/>
      <c r="F1066" s="511"/>
      <c r="G1066" s="511"/>
      <c r="H1066" s="511"/>
      <c r="I1066" s="511"/>
      <c r="J1066" s="511"/>
      <c r="K1066" s="511"/>
      <c r="L1066" s="511"/>
      <c r="M1066" s="511"/>
      <c r="N1066" s="511"/>
      <c r="O1066" s="511"/>
      <c r="P1066" s="511"/>
      <c r="Q1066" s="511"/>
      <c r="R1066" s="511"/>
      <c r="S1066" s="511"/>
      <c r="T1066" s="511"/>
      <c r="U1066" s="511"/>
      <c r="V1066" s="511"/>
      <c r="W1066" s="511"/>
      <c r="X1066" s="511"/>
      <c r="Y1066" s="511"/>
      <c r="Z1066" s="511"/>
      <c r="AA1066" s="511"/>
      <c r="AB1066" s="511"/>
      <c r="AC1066" s="511"/>
      <c r="AD1066" s="511"/>
      <c r="AE1066" s="511"/>
      <c r="AF1066" s="511"/>
      <c r="AG1066" s="511"/>
      <c r="AH1066" s="511"/>
      <c r="AI1066" s="511"/>
      <c r="AJ1066" s="511"/>
      <c r="AK1066" s="511"/>
      <c r="AL1066" s="511"/>
      <c r="AM1066" s="511"/>
      <c r="AN1066" s="511"/>
      <c r="AO1066" s="511"/>
      <c r="AP1066" s="511"/>
      <c r="AQ1066" s="511"/>
      <c r="AR1066" s="511"/>
      <c r="AS1066" s="511"/>
      <c r="AT1066" s="25"/>
      <c r="AU1066" s="25"/>
      <c r="AV1066" s="25"/>
      <c r="AW1066" s="25"/>
      <c r="AX1066" s="25"/>
    </row>
    <row r="1067" spans="1:50" s="35" customFormat="1" ht="15" customHeight="1" x14ac:dyDescent="0.25">
      <c r="A1067" s="25"/>
      <c r="B1067" s="25"/>
      <c r="C1067" s="508">
        <v>15</v>
      </c>
      <c r="D1067" s="508"/>
      <c r="E1067" s="513" t="s">
        <v>1806</v>
      </c>
      <c r="F1067" s="513"/>
      <c r="G1067" s="513"/>
      <c r="H1067" s="513"/>
      <c r="I1067" s="513"/>
      <c r="J1067" s="512" t="s">
        <v>1491</v>
      </c>
      <c r="K1067" s="512"/>
      <c r="L1067" s="512"/>
      <c r="M1067" s="512"/>
      <c r="N1067" s="512"/>
      <c r="O1067" s="512"/>
      <c r="P1067" s="512"/>
      <c r="Q1067" s="512"/>
      <c r="R1067" s="512"/>
      <c r="S1067" s="512"/>
      <c r="T1067" s="512"/>
      <c r="U1067" s="512"/>
      <c r="V1067" s="512"/>
      <c r="W1067" s="512"/>
      <c r="X1067" s="512"/>
      <c r="Y1067" s="507" t="s">
        <v>1487</v>
      </c>
      <c r="Z1067" s="507"/>
      <c r="AA1067" s="507"/>
      <c r="AB1067" s="507" t="s">
        <v>1488</v>
      </c>
      <c r="AC1067" s="507"/>
      <c r="AD1067" s="507"/>
      <c r="AE1067" s="507">
        <v>110</v>
      </c>
      <c r="AF1067" s="507"/>
      <c r="AG1067" s="507"/>
      <c r="AH1067" s="507">
        <v>1.5</v>
      </c>
      <c r="AI1067" s="507"/>
      <c r="AJ1067" s="507"/>
      <c r="AK1067" s="507" t="s">
        <v>1505</v>
      </c>
      <c r="AL1067" s="507"/>
      <c r="AM1067" s="507"/>
      <c r="AN1067" s="516">
        <f>VLOOKUP(E1067,'Выгрузка из 1С'!$B$4:$K$2000,10,FALSE)</f>
        <v>1481.2</v>
      </c>
      <c r="AO1067" s="516"/>
      <c r="AP1067" s="516"/>
      <c r="AQ1067" s="516"/>
      <c r="AR1067" s="516"/>
      <c r="AS1067" s="516"/>
      <c r="AT1067" s="25"/>
      <c r="AU1067" s="25"/>
      <c r="AV1067" s="25"/>
      <c r="AW1067" s="25"/>
      <c r="AX1067" s="25"/>
    </row>
    <row r="1068" spans="1:50" s="35" customFormat="1" ht="15" customHeight="1" x14ac:dyDescent="0.25">
      <c r="A1068" s="25"/>
      <c r="B1068" s="25"/>
      <c r="C1068" s="508">
        <v>15</v>
      </c>
      <c r="D1068" s="508"/>
      <c r="E1068" s="513" t="s">
        <v>1787</v>
      </c>
      <c r="F1068" s="513"/>
      <c r="G1068" s="513"/>
      <c r="H1068" s="513"/>
      <c r="I1068" s="513"/>
      <c r="J1068" s="512" t="s">
        <v>1492</v>
      </c>
      <c r="K1068" s="512"/>
      <c r="L1068" s="512"/>
      <c r="M1068" s="512"/>
      <c r="N1068" s="512"/>
      <c r="O1068" s="512"/>
      <c r="P1068" s="512"/>
      <c r="Q1068" s="512"/>
      <c r="R1068" s="512"/>
      <c r="S1068" s="512"/>
      <c r="T1068" s="512"/>
      <c r="U1068" s="512"/>
      <c r="V1068" s="512"/>
      <c r="W1068" s="512"/>
      <c r="X1068" s="512"/>
      <c r="Y1068" s="507" t="s">
        <v>1487</v>
      </c>
      <c r="Z1068" s="507"/>
      <c r="AA1068" s="507"/>
      <c r="AB1068" s="507" t="s">
        <v>1488</v>
      </c>
      <c r="AC1068" s="507"/>
      <c r="AD1068" s="507"/>
      <c r="AE1068" s="507">
        <v>110</v>
      </c>
      <c r="AF1068" s="507"/>
      <c r="AG1068" s="507"/>
      <c r="AH1068" s="507">
        <v>1.5</v>
      </c>
      <c r="AI1068" s="507"/>
      <c r="AJ1068" s="507"/>
      <c r="AK1068" s="507" t="s">
        <v>1505</v>
      </c>
      <c r="AL1068" s="507"/>
      <c r="AM1068" s="507"/>
      <c r="AN1068" s="516">
        <f>VLOOKUP(E1068,'Выгрузка из 1С'!$B$4:$K$2000,10,FALSE)</f>
        <v>1239</v>
      </c>
      <c r="AO1068" s="516"/>
      <c r="AP1068" s="516"/>
      <c r="AQ1068" s="516"/>
      <c r="AR1068" s="516"/>
      <c r="AS1068" s="516"/>
      <c r="AT1068" s="25"/>
      <c r="AU1068" s="25"/>
      <c r="AV1068" s="25"/>
      <c r="AW1068" s="25"/>
      <c r="AX1068" s="25"/>
    </row>
    <row r="1069" spans="1:50" s="35" customFormat="1" ht="15" customHeight="1" x14ac:dyDescent="0.25">
      <c r="A1069" s="25"/>
      <c r="B1069" s="25"/>
      <c r="C1069" s="508">
        <v>15</v>
      </c>
      <c r="D1069" s="508"/>
      <c r="E1069" s="513" t="s">
        <v>1788</v>
      </c>
      <c r="F1069" s="513"/>
      <c r="G1069" s="513"/>
      <c r="H1069" s="513"/>
      <c r="I1069" s="513"/>
      <c r="J1069" s="512" t="s">
        <v>1493</v>
      </c>
      <c r="K1069" s="512"/>
      <c r="L1069" s="512"/>
      <c r="M1069" s="512"/>
      <c r="N1069" s="512"/>
      <c r="O1069" s="512"/>
      <c r="P1069" s="512"/>
      <c r="Q1069" s="512"/>
      <c r="R1069" s="512"/>
      <c r="S1069" s="512"/>
      <c r="T1069" s="512"/>
      <c r="U1069" s="512"/>
      <c r="V1069" s="512"/>
      <c r="W1069" s="512"/>
      <c r="X1069" s="512"/>
      <c r="Y1069" s="507" t="s">
        <v>1487</v>
      </c>
      <c r="Z1069" s="507"/>
      <c r="AA1069" s="507"/>
      <c r="AB1069" s="507" t="s">
        <v>1488</v>
      </c>
      <c r="AC1069" s="507"/>
      <c r="AD1069" s="507"/>
      <c r="AE1069" s="507">
        <v>80</v>
      </c>
      <c r="AF1069" s="507"/>
      <c r="AG1069" s="507"/>
      <c r="AH1069" s="507">
        <v>1.5</v>
      </c>
      <c r="AI1069" s="507"/>
      <c r="AJ1069" s="507"/>
      <c r="AK1069" s="507" t="s">
        <v>1505</v>
      </c>
      <c r="AL1069" s="507"/>
      <c r="AM1069" s="507"/>
      <c r="AN1069" s="516">
        <f>VLOOKUP(E1069,'Выгрузка из 1С'!$B$4:$K$2000,10,FALSE)</f>
        <v>1409.8</v>
      </c>
      <c r="AO1069" s="516"/>
      <c r="AP1069" s="516"/>
      <c r="AQ1069" s="516"/>
      <c r="AR1069" s="516"/>
      <c r="AS1069" s="516"/>
      <c r="AT1069" s="25"/>
      <c r="AU1069" s="25"/>
      <c r="AV1069" s="25"/>
      <c r="AW1069" s="25"/>
      <c r="AX1069" s="25"/>
    </row>
    <row r="1070" spans="1:50" s="35" customFormat="1" ht="15" customHeight="1" x14ac:dyDescent="0.25">
      <c r="A1070" s="25"/>
      <c r="B1070" s="25"/>
      <c r="C1070" s="508">
        <v>15</v>
      </c>
      <c r="D1070" s="508"/>
      <c r="E1070" s="513" t="s">
        <v>1783</v>
      </c>
      <c r="F1070" s="513"/>
      <c r="G1070" s="513"/>
      <c r="H1070" s="513"/>
      <c r="I1070" s="513"/>
      <c r="J1070" s="512" t="s">
        <v>1494</v>
      </c>
      <c r="K1070" s="512"/>
      <c r="L1070" s="512"/>
      <c r="M1070" s="512"/>
      <c r="N1070" s="512"/>
      <c r="O1070" s="512"/>
      <c r="P1070" s="512"/>
      <c r="Q1070" s="512"/>
      <c r="R1070" s="512"/>
      <c r="S1070" s="512"/>
      <c r="T1070" s="512"/>
      <c r="U1070" s="512"/>
      <c r="V1070" s="512"/>
      <c r="W1070" s="512"/>
      <c r="X1070" s="512"/>
      <c r="Y1070" s="507" t="s">
        <v>1487</v>
      </c>
      <c r="Z1070" s="507"/>
      <c r="AA1070" s="507"/>
      <c r="AB1070" s="507" t="s">
        <v>1489</v>
      </c>
      <c r="AC1070" s="507"/>
      <c r="AD1070" s="507"/>
      <c r="AE1070" s="507">
        <v>110</v>
      </c>
      <c r="AF1070" s="507"/>
      <c r="AG1070" s="507"/>
      <c r="AH1070" s="507">
        <v>1.5</v>
      </c>
      <c r="AI1070" s="507"/>
      <c r="AJ1070" s="507"/>
      <c r="AK1070" s="507" t="s">
        <v>1505</v>
      </c>
      <c r="AL1070" s="507"/>
      <c r="AM1070" s="507"/>
      <c r="AN1070" s="516">
        <f>VLOOKUP(E1070,'Выгрузка из 1С'!$B$4:$K$2000,10,FALSE)</f>
        <v>2396.8000000000002</v>
      </c>
      <c r="AO1070" s="516"/>
      <c r="AP1070" s="516"/>
      <c r="AQ1070" s="516"/>
      <c r="AR1070" s="516"/>
      <c r="AS1070" s="516"/>
      <c r="AT1070" s="25"/>
      <c r="AU1070" s="25"/>
      <c r="AV1070" s="25"/>
      <c r="AW1070" s="25"/>
      <c r="AX1070" s="25"/>
    </row>
    <row r="1071" spans="1:50" s="35" customFormat="1" ht="15" customHeight="1" x14ac:dyDescent="0.25">
      <c r="A1071" s="25"/>
      <c r="B1071" s="25"/>
      <c r="C1071" s="508">
        <v>15</v>
      </c>
      <c r="D1071" s="508"/>
      <c r="E1071" s="513" t="s">
        <v>1808</v>
      </c>
      <c r="F1071" s="513"/>
      <c r="G1071" s="513"/>
      <c r="H1071" s="513"/>
      <c r="I1071" s="513"/>
      <c r="J1071" s="512" t="s">
        <v>1495</v>
      </c>
      <c r="K1071" s="512"/>
      <c r="L1071" s="512"/>
      <c r="M1071" s="512"/>
      <c r="N1071" s="512"/>
      <c r="O1071" s="512"/>
      <c r="P1071" s="512"/>
      <c r="Q1071" s="512"/>
      <c r="R1071" s="512"/>
      <c r="S1071" s="512"/>
      <c r="T1071" s="512"/>
      <c r="U1071" s="512"/>
      <c r="V1071" s="512"/>
      <c r="W1071" s="512"/>
      <c r="X1071" s="512"/>
      <c r="Y1071" s="507" t="s">
        <v>1487</v>
      </c>
      <c r="Z1071" s="507"/>
      <c r="AA1071" s="507"/>
      <c r="AB1071" s="507" t="s">
        <v>1488</v>
      </c>
      <c r="AC1071" s="507"/>
      <c r="AD1071" s="507"/>
      <c r="AE1071" s="507">
        <v>110</v>
      </c>
      <c r="AF1071" s="507"/>
      <c r="AG1071" s="507"/>
      <c r="AH1071" s="507">
        <v>1.5</v>
      </c>
      <c r="AI1071" s="507"/>
      <c r="AJ1071" s="507"/>
      <c r="AK1071" s="507" t="s">
        <v>1505</v>
      </c>
      <c r="AL1071" s="507"/>
      <c r="AM1071" s="507"/>
      <c r="AN1071" s="516">
        <f>VLOOKUP(E1071,'Выгрузка из 1С'!$B$4:$K$2000,10,FALSE)</f>
        <v>2035.6</v>
      </c>
      <c r="AO1071" s="516"/>
      <c r="AP1071" s="516"/>
      <c r="AQ1071" s="516"/>
      <c r="AR1071" s="516"/>
      <c r="AS1071" s="516"/>
      <c r="AT1071" s="25"/>
      <c r="AU1071" s="25"/>
      <c r="AV1071" s="25"/>
      <c r="AW1071" s="25"/>
      <c r="AX1071" s="25"/>
    </row>
    <row r="1072" spans="1:50" s="35" customFormat="1" ht="15" customHeight="1" x14ac:dyDescent="0.25">
      <c r="A1072" s="25"/>
      <c r="B1072" s="25"/>
      <c r="C1072" s="508">
        <v>15</v>
      </c>
      <c r="D1072" s="508"/>
      <c r="E1072" s="513" t="s">
        <v>1760</v>
      </c>
      <c r="F1072" s="513"/>
      <c r="G1072" s="513"/>
      <c r="H1072" s="513"/>
      <c r="I1072" s="513"/>
      <c r="J1072" s="512" t="s">
        <v>1496</v>
      </c>
      <c r="K1072" s="512"/>
      <c r="L1072" s="512"/>
      <c r="M1072" s="512"/>
      <c r="N1072" s="512"/>
      <c r="O1072" s="512"/>
      <c r="P1072" s="512"/>
      <c r="Q1072" s="512"/>
      <c r="R1072" s="512"/>
      <c r="S1072" s="512"/>
      <c r="T1072" s="512"/>
      <c r="U1072" s="512"/>
      <c r="V1072" s="512"/>
      <c r="W1072" s="512"/>
      <c r="X1072" s="512"/>
      <c r="Y1072" s="507" t="s">
        <v>1487</v>
      </c>
      <c r="Z1072" s="507"/>
      <c r="AA1072" s="507"/>
      <c r="AB1072" s="507" t="s">
        <v>1488</v>
      </c>
      <c r="AC1072" s="507"/>
      <c r="AD1072" s="507"/>
      <c r="AE1072" s="507">
        <v>110</v>
      </c>
      <c r="AF1072" s="507"/>
      <c r="AG1072" s="507"/>
      <c r="AH1072" s="507">
        <v>1.5</v>
      </c>
      <c r="AI1072" s="507"/>
      <c r="AJ1072" s="507"/>
      <c r="AK1072" s="507" t="s">
        <v>1505</v>
      </c>
      <c r="AL1072" s="507"/>
      <c r="AM1072" s="507"/>
      <c r="AN1072" s="516">
        <f>VLOOKUP(E1072,'Выгрузка из 1С'!$B$4:$K$2000,10,FALSE)</f>
        <v>1779.4</v>
      </c>
      <c r="AO1072" s="516"/>
      <c r="AP1072" s="516"/>
      <c r="AQ1072" s="516"/>
      <c r="AR1072" s="516"/>
      <c r="AS1072" s="516"/>
      <c r="AT1072" s="25"/>
      <c r="AU1072" s="25"/>
      <c r="AV1072" s="25"/>
      <c r="AW1072" s="25"/>
      <c r="AX1072" s="25"/>
    </row>
    <row r="1073" spans="1:50" s="35" customFormat="1" ht="15" customHeight="1" x14ac:dyDescent="0.25">
      <c r="A1073" s="25"/>
      <c r="B1073" s="25"/>
      <c r="C1073" s="508">
        <v>15</v>
      </c>
      <c r="D1073" s="508"/>
      <c r="E1073" s="513" t="s">
        <v>1764</v>
      </c>
      <c r="F1073" s="513"/>
      <c r="G1073" s="513"/>
      <c r="H1073" s="513"/>
      <c r="I1073" s="513"/>
      <c r="J1073" s="512" t="s">
        <v>1497</v>
      </c>
      <c r="K1073" s="512"/>
      <c r="L1073" s="512"/>
      <c r="M1073" s="512"/>
      <c r="N1073" s="512"/>
      <c r="O1073" s="512"/>
      <c r="P1073" s="512"/>
      <c r="Q1073" s="512"/>
      <c r="R1073" s="512"/>
      <c r="S1073" s="512"/>
      <c r="T1073" s="512"/>
      <c r="U1073" s="512"/>
      <c r="V1073" s="512"/>
      <c r="W1073" s="512"/>
      <c r="X1073" s="512"/>
      <c r="Y1073" s="507" t="s">
        <v>1487</v>
      </c>
      <c r="Z1073" s="507"/>
      <c r="AA1073" s="507"/>
      <c r="AB1073" s="507" t="s">
        <v>1488</v>
      </c>
      <c r="AC1073" s="507"/>
      <c r="AD1073" s="507"/>
      <c r="AE1073" s="507">
        <v>80</v>
      </c>
      <c r="AF1073" s="507"/>
      <c r="AG1073" s="507"/>
      <c r="AH1073" s="507">
        <v>1.5</v>
      </c>
      <c r="AI1073" s="507"/>
      <c r="AJ1073" s="507"/>
      <c r="AK1073" s="507" t="s">
        <v>1505</v>
      </c>
      <c r="AL1073" s="507"/>
      <c r="AM1073" s="507"/>
      <c r="AN1073" s="516">
        <f>VLOOKUP(E1073,'Выгрузка из 1С'!$B$4:$K$2000,10,FALSE)</f>
        <v>1979.6</v>
      </c>
      <c r="AO1073" s="516"/>
      <c r="AP1073" s="516"/>
      <c r="AQ1073" s="516"/>
      <c r="AR1073" s="516"/>
      <c r="AS1073" s="516"/>
      <c r="AT1073" s="25"/>
      <c r="AU1073" s="25"/>
      <c r="AV1073" s="25"/>
      <c r="AW1073" s="25"/>
      <c r="AX1073" s="25"/>
    </row>
    <row r="1074" spans="1:50" s="35" customFormat="1" ht="15" customHeight="1" x14ac:dyDescent="0.25">
      <c r="A1074" s="25"/>
      <c r="B1074" s="25"/>
      <c r="C1074" s="508">
        <v>15</v>
      </c>
      <c r="D1074" s="508"/>
      <c r="E1074" s="513" t="s">
        <v>1761</v>
      </c>
      <c r="F1074" s="513"/>
      <c r="G1074" s="513"/>
      <c r="H1074" s="513"/>
      <c r="I1074" s="513"/>
      <c r="J1074" s="512" t="s">
        <v>1498</v>
      </c>
      <c r="K1074" s="512"/>
      <c r="L1074" s="512"/>
      <c r="M1074" s="512"/>
      <c r="N1074" s="512"/>
      <c r="O1074" s="512"/>
      <c r="P1074" s="512"/>
      <c r="Q1074" s="512"/>
      <c r="R1074" s="512"/>
      <c r="S1074" s="512"/>
      <c r="T1074" s="512"/>
      <c r="U1074" s="512"/>
      <c r="V1074" s="512"/>
      <c r="W1074" s="512"/>
      <c r="X1074" s="512"/>
      <c r="Y1074" s="507" t="s">
        <v>1487</v>
      </c>
      <c r="Z1074" s="507"/>
      <c r="AA1074" s="507"/>
      <c r="AB1074" s="507" t="s">
        <v>1489</v>
      </c>
      <c r="AC1074" s="507"/>
      <c r="AD1074" s="507"/>
      <c r="AE1074" s="507">
        <v>110</v>
      </c>
      <c r="AF1074" s="507"/>
      <c r="AG1074" s="507"/>
      <c r="AH1074" s="507">
        <v>1.5</v>
      </c>
      <c r="AI1074" s="507"/>
      <c r="AJ1074" s="507"/>
      <c r="AK1074" s="507" t="s">
        <v>1505</v>
      </c>
      <c r="AL1074" s="507"/>
      <c r="AM1074" s="507"/>
      <c r="AN1074" s="516">
        <f>VLOOKUP(E1074,'Выгрузка из 1С'!$B$4:$K$2000,10,FALSE)</f>
        <v>2991.8</v>
      </c>
      <c r="AO1074" s="516"/>
      <c r="AP1074" s="516"/>
      <c r="AQ1074" s="516"/>
      <c r="AR1074" s="516"/>
      <c r="AS1074" s="516"/>
      <c r="AT1074" s="25"/>
      <c r="AU1074" s="25"/>
      <c r="AV1074" s="25"/>
      <c r="AW1074" s="25"/>
      <c r="AX1074" s="25"/>
    </row>
    <row r="1075" spans="1:50" s="35" customFormat="1" ht="15" customHeight="1" x14ac:dyDescent="0.25">
      <c r="A1075" s="25"/>
      <c r="B1075" s="25"/>
      <c r="C1075" s="508">
        <v>15</v>
      </c>
      <c r="D1075" s="508"/>
      <c r="E1075" s="513" t="s">
        <v>1897</v>
      </c>
      <c r="F1075" s="513"/>
      <c r="G1075" s="513"/>
      <c r="H1075" s="513"/>
      <c r="I1075" s="513"/>
      <c r="J1075" s="512" t="s">
        <v>1499</v>
      </c>
      <c r="K1075" s="512"/>
      <c r="L1075" s="512"/>
      <c r="M1075" s="512"/>
      <c r="N1075" s="512"/>
      <c r="O1075" s="512"/>
      <c r="P1075" s="512"/>
      <c r="Q1075" s="512"/>
      <c r="R1075" s="512"/>
      <c r="S1075" s="512"/>
      <c r="T1075" s="512"/>
      <c r="U1075" s="512"/>
      <c r="V1075" s="512"/>
      <c r="W1075" s="512"/>
      <c r="X1075" s="512"/>
      <c r="Y1075" s="507" t="s">
        <v>1487</v>
      </c>
      <c r="Z1075" s="507"/>
      <c r="AA1075" s="507"/>
      <c r="AB1075" s="507" t="s">
        <v>1488</v>
      </c>
      <c r="AC1075" s="507"/>
      <c r="AD1075" s="507"/>
      <c r="AE1075" s="507">
        <v>110</v>
      </c>
      <c r="AF1075" s="507"/>
      <c r="AG1075" s="507"/>
      <c r="AH1075" s="507">
        <v>1.5</v>
      </c>
      <c r="AI1075" s="507"/>
      <c r="AJ1075" s="507"/>
      <c r="AK1075" s="507" t="s">
        <v>1505</v>
      </c>
      <c r="AL1075" s="507"/>
      <c r="AM1075" s="507"/>
      <c r="AN1075" s="516">
        <f>VLOOKUP(E1075,'Выгрузка из 1С'!$B$4:$K$2000,10,FALSE)</f>
        <v>4613</v>
      </c>
      <c r="AO1075" s="516"/>
      <c r="AP1075" s="516"/>
      <c r="AQ1075" s="516"/>
      <c r="AR1075" s="516"/>
      <c r="AS1075" s="516"/>
      <c r="AT1075" s="25"/>
      <c r="AU1075" s="25"/>
      <c r="AV1075" s="25"/>
      <c r="AW1075" s="25"/>
      <c r="AX1075" s="25"/>
    </row>
    <row r="1076" spans="1:50" s="35" customFormat="1" ht="15" customHeight="1" x14ac:dyDescent="0.25">
      <c r="A1076" s="25"/>
      <c r="B1076" s="25"/>
      <c r="C1076" s="508">
        <v>20</v>
      </c>
      <c r="D1076" s="508"/>
      <c r="E1076" s="513" t="s">
        <v>1786</v>
      </c>
      <c r="F1076" s="513"/>
      <c r="G1076" s="513"/>
      <c r="H1076" s="513"/>
      <c r="I1076" s="513"/>
      <c r="J1076" s="512" t="s">
        <v>1500</v>
      </c>
      <c r="K1076" s="512"/>
      <c r="L1076" s="512"/>
      <c r="M1076" s="512"/>
      <c r="N1076" s="512"/>
      <c r="O1076" s="512"/>
      <c r="P1076" s="512"/>
      <c r="Q1076" s="512"/>
      <c r="R1076" s="512"/>
      <c r="S1076" s="512"/>
      <c r="T1076" s="512"/>
      <c r="U1076" s="512"/>
      <c r="V1076" s="512"/>
      <c r="W1076" s="512"/>
      <c r="X1076" s="512"/>
      <c r="Y1076" s="507" t="s">
        <v>1487</v>
      </c>
      <c r="Z1076" s="507"/>
      <c r="AA1076" s="507"/>
      <c r="AB1076" s="507" t="s">
        <v>1488</v>
      </c>
      <c r="AC1076" s="507"/>
      <c r="AD1076" s="507"/>
      <c r="AE1076" s="507">
        <v>130</v>
      </c>
      <c r="AF1076" s="507"/>
      <c r="AG1076" s="507"/>
      <c r="AH1076" s="507">
        <v>2.5</v>
      </c>
      <c r="AI1076" s="507"/>
      <c r="AJ1076" s="507"/>
      <c r="AK1076" s="507" t="s">
        <v>1505</v>
      </c>
      <c r="AL1076" s="507"/>
      <c r="AM1076" s="507"/>
      <c r="AN1076" s="516">
        <f>VLOOKUP(E1076,'Выгрузка из 1С'!$B$4:$K$2000,10,FALSE)</f>
        <v>2434.6</v>
      </c>
      <c r="AO1076" s="516"/>
      <c r="AP1076" s="516"/>
      <c r="AQ1076" s="516"/>
      <c r="AR1076" s="516"/>
      <c r="AS1076" s="516"/>
      <c r="AT1076" s="25"/>
      <c r="AU1076" s="25"/>
      <c r="AV1076" s="25"/>
      <c r="AW1076" s="25"/>
      <c r="AX1076" s="25"/>
    </row>
    <row r="1077" spans="1:50" s="35" customFormat="1" ht="15" customHeight="1" x14ac:dyDescent="0.25">
      <c r="A1077" s="25"/>
      <c r="B1077" s="25"/>
      <c r="C1077" s="508">
        <v>20</v>
      </c>
      <c r="D1077" s="508"/>
      <c r="E1077" s="513" t="s">
        <v>1781</v>
      </c>
      <c r="F1077" s="513"/>
      <c r="G1077" s="513"/>
      <c r="H1077" s="513"/>
      <c r="I1077" s="513"/>
      <c r="J1077" s="512" t="s">
        <v>1501</v>
      </c>
      <c r="K1077" s="512"/>
      <c r="L1077" s="512"/>
      <c r="M1077" s="512"/>
      <c r="N1077" s="512"/>
      <c r="O1077" s="512"/>
      <c r="P1077" s="512"/>
      <c r="Q1077" s="512"/>
      <c r="R1077" s="512"/>
      <c r="S1077" s="512"/>
      <c r="T1077" s="512"/>
      <c r="U1077" s="512"/>
      <c r="V1077" s="512"/>
      <c r="W1077" s="512"/>
      <c r="X1077" s="512"/>
      <c r="Y1077" s="507" t="s">
        <v>1487</v>
      </c>
      <c r="Z1077" s="507"/>
      <c r="AA1077" s="507"/>
      <c r="AB1077" s="507" t="s">
        <v>1489</v>
      </c>
      <c r="AC1077" s="507"/>
      <c r="AD1077" s="507"/>
      <c r="AE1077" s="507">
        <v>130</v>
      </c>
      <c r="AF1077" s="507"/>
      <c r="AG1077" s="507"/>
      <c r="AH1077" s="507">
        <v>2.5</v>
      </c>
      <c r="AI1077" s="507"/>
      <c r="AJ1077" s="507"/>
      <c r="AK1077" s="507" t="s">
        <v>1505</v>
      </c>
      <c r="AL1077" s="507"/>
      <c r="AM1077" s="507"/>
      <c r="AN1077" s="516">
        <f>VLOOKUP(E1077,'Выгрузка из 1С'!$B$4:$K$2000,10,FALSE)</f>
        <v>3746.4</v>
      </c>
      <c r="AO1077" s="516"/>
      <c r="AP1077" s="516"/>
      <c r="AQ1077" s="516"/>
      <c r="AR1077" s="516"/>
      <c r="AS1077" s="516"/>
      <c r="AT1077" s="25"/>
      <c r="AU1077" s="25"/>
      <c r="AV1077" s="25"/>
      <c r="AW1077" s="25"/>
      <c r="AX1077" s="25"/>
    </row>
    <row r="1078" spans="1:50" s="35" customFormat="1" ht="15" customHeight="1" x14ac:dyDescent="0.25">
      <c r="A1078" s="25"/>
      <c r="B1078" s="25"/>
      <c r="C1078" s="508">
        <v>20</v>
      </c>
      <c r="D1078" s="508"/>
      <c r="E1078" s="513" t="s">
        <v>1763</v>
      </c>
      <c r="F1078" s="513"/>
      <c r="G1078" s="513"/>
      <c r="H1078" s="513"/>
      <c r="I1078" s="513"/>
      <c r="J1078" s="512" t="s">
        <v>1502</v>
      </c>
      <c r="K1078" s="512"/>
      <c r="L1078" s="512"/>
      <c r="M1078" s="512"/>
      <c r="N1078" s="512"/>
      <c r="O1078" s="512"/>
      <c r="P1078" s="512"/>
      <c r="Q1078" s="512"/>
      <c r="R1078" s="512"/>
      <c r="S1078" s="512"/>
      <c r="T1078" s="512"/>
      <c r="U1078" s="512"/>
      <c r="V1078" s="512"/>
      <c r="W1078" s="512"/>
      <c r="X1078" s="512"/>
      <c r="Y1078" s="507" t="s">
        <v>1487</v>
      </c>
      <c r="Z1078" s="507"/>
      <c r="AA1078" s="507"/>
      <c r="AB1078" s="507" t="s">
        <v>1488</v>
      </c>
      <c r="AC1078" s="507"/>
      <c r="AD1078" s="507"/>
      <c r="AE1078" s="507">
        <v>130</v>
      </c>
      <c r="AF1078" s="507"/>
      <c r="AG1078" s="507"/>
      <c r="AH1078" s="507">
        <v>2.5</v>
      </c>
      <c r="AI1078" s="507"/>
      <c r="AJ1078" s="507"/>
      <c r="AK1078" s="507" t="s">
        <v>1505</v>
      </c>
      <c r="AL1078" s="507"/>
      <c r="AM1078" s="507"/>
      <c r="AN1078" s="516">
        <f>VLOOKUP(E1078,'Выгрузка из 1С'!$B$4:$K$2000,10,FALSE)</f>
        <v>3844.4</v>
      </c>
      <c r="AO1078" s="516"/>
      <c r="AP1078" s="516"/>
      <c r="AQ1078" s="516"/>
      <c r="AR1078" s="516"/>
      <c r="AS1078" s="516"/>
      <c r="AT1078" s="25"/>
      <c r="AU1078" s="25"/>
      <c r="AV1078" s="25"/>
      <c r="AW1078" s="25"/>
      <c r="AX1078" s="25"/>
    </row>
    <row r="1079" spans="1:50" s="35" customFormat="1" ht="15" customHeight="1" x14ac:dyDescent="0.25">
      <c r="A1079" s="25"/>
      <c r="B1079" s="25"/>
      <c r="C1079" s="508">
        <v>20</v>
      </c>
      <c r="D1079" s="508"/>
      <c r="E1079" s="513" t="s">
        <v>1762</v>
      </c>
      <c r="F1079" s="513"/>
      <c r="G1079" s="513"/>
      <c r="H1079" s="513"/>
      <c r="I1079" s="513"/>
      <c r="J1079" s="512" t="s">
        <v>1503</v>
      </c>
      <c r="K1079" s="512"/>
      <c r="L1079" s="512"/>
      <c r="M1079" s="512"/>
      <c r="N1079" s="512"/>
      <c r="O1079" s="512"/>
      <c r="P1079" s="512"/>
      <c r="Q1079" s="512"/>
      <c r="R1079" s="512"/>
      <c r="S1079" s="512"/>
      <c r="T1079" s="512"/>
      <c r="U1079" s="512"/>
      <c r="V1079" s="512"/>
      <c r="W1079" s="512"/>
      <c r="X1079" s="512"/>
      <c r="Y1079" s="507" t="s">
        <v>1487</v>
      </c>
      <c r="Z1079" s="507"/>
      <c r="AA1079" s="507"/>
      <c r="AB1079" s="507" t="s">
        <v>1489</v>
      </c>
      <c r="AC1079" s="507"/>
      <c r="AD1079" s="507"/>
      <c r="AE1079" s="507">
        <v>130</v>
      </c>
      <c r="AF1079" s="507"/>
      <c r="AG1079" s="507"/>
      <c r="AH1079" s="507">
        <v>2.5</v>
      </c>
      <c r="AI1079" s="507"/>
      <c r="AJ1079" s="507"/>
      <c r="AK1079" s="507" t="s">
        <v>1505</v>
      </c>
      <c r="AL1079" s="507"/>
      <c r="AM1079" s="507"/>
      <c r="AN1079" s="516">
        <f>VLOOKUP(E1079,'Выгрузка из 1С'!$B$4:$K$2000,10,FALSE)</f>
        <v>5548.2</v>
      </c>
      <c r="AO1079" s="516"/>
      <c r="AP1079" s="516"/>
      <c r="AQ1079" s="516"/>
      <c r="AR1079" s="516"/>
      <c r="AS1079" s="516"/>
      <c r="AT1079" s="25"/>
      <c r="AU1079" s="25"/>
      <c r="AV1079" s="25"/>
      <c r="AW1079" s="25"/>
      <c r="AX1079" s="25"/>
    </row>
    <row r="1080" spans="1:50" s="35" customFormat="1" ht="15" customHeight="1" x14ac:dyDescent="0.25">
      <c r="A1080" s="25"/>
      <c r="B1080" s="25"/>
      <c r="C1080" s="508">
        <v>20</v>
      </c>
      <c r="D1080" s="508"/>
      <c r="E1080" s="513" t="s">
        <v>1896</v>
      </c>
      <c r="F1080" s="513"/>
      <c r="G1080" s="513"/>
      <c r="H1080" s="513"/>
      <c r="I1080" s="513"/>
      <c r="J1080" s="512" t="s">
        <v>1504</v>
      </c>
      <c r="K1080" s="512"/>
      <c r="L1080" s="512"/>
      <c r="M1080" s="512"/>
      <c r="N1080" s="512"/>
      <c r="O1080" s="512"/>
      <c r="P1080" s="512"/>
      <c r="Q1080" s="512"/>
      <c r="R1080" s="512"/>
      <c r="S1080" s="512"/>
      <c r="T1080" s="512"/>
      <c r="U1080" s="512"/>
      <c r="V1080" s="512"/>
      <c r="W1080" s="512"/>
      <c r="X1080" s="512"/>
      <c r="Y1080" s="507" t="s">
        <v>1487</v>
      </c>
      <c r="Z1080" s="507"/>
      <c r="AA1080" s="507"/>
      <c r="AB1080" s="507" t="s">
        <v>1488</v>
      </c>
      <c r="AC1080" s="507"/>
      <c r="AD1080" s="507"/>
      <c r="AE1080" s="507">
        <v>130</v>
      </c>
      <c r="AF1080" s="507"/>
      <c r="AG1080" s="507"/>
      <c r="AH1080" s="507">
        <v>2.5</v>
      </c>
      <c r="AI1080" s="507"/>
      <c r="AJ1080" s="507"/>
      <c r="AK1080" s="507" t="s">
        <v>1505</v>
      </c>
      <c r="AL1080" s="507"/>
      <c r="AM1080" s="507"/>
      <c r="AN1080" s="516">
        <f>VLOOKUP(E1080,'Выгрузка из 1С'!$B$4:$K$2000,10,FALSE)</f>
        <v>5367.6</v>
      </c>
      <c r="AO1080" s="516"/>
      <c r="AP1080" s="516"/>
      <c r="AQ1080" s="516"/>
      <c r="AR1080" s="516"/>
      <c r="AS1080" s="516"/>
      <c r="AT1080" s="25"/>
      <c r="AU1080" s="25"/>
      <c r="AV1080" s="25"/>
      <c r="AW1080" s="25"/>
      <c r="AX1080" s="25"/>
    </row>
    <row r="1081" spans="1:50" s="35" customFormat="1" ht="15" customHeight="1" x14ac:dyDescent="0.25">
      <c r="A1081" s="25"/>
      <c r="B1081" s="25"/>
      <c r="C1081" s="314"/>
      <c r="D1081" s="314"/>
      <c r="E1081" s="315"/>
      <c r="F1081" s="315"/>
      <c r="G1081" s="315"/>
      <c r="H1081" s="315"/>
      <c r="I1081" s="315"/>
      <c r="J1081" s="316"/>
      <c r="K1081" s="316"/>
      <c r="L1081" s="316"/>
      <c r="M1081" s="316"/>
      <c r="N1081" s="316"/>
      <c r="O1081" s="316"/>
      <c r="P1081" s="316"/>
      <c r="Q1081" s="316"/>
      <c r="R1081" s="316"/>
      <c r="S1081" s="316"/>
      <c r="T1081" s="316"/>
      <c r="U1081" s="316"/>
      <c r="V1081" s="316"/>
      <c r="W1081" s="316"/>
      <c r="X1081" s="316"/>
      <c r="Y1081" s="317"/>
      <c r="Z1081" s="317"/>
      <c r="AA1081" s="317"/>
      <c r="AB1081" s="317"/>
      <c r="AC1081" s="317"/>
      <c r="AD1081" s="317"/>
      <c r="AE1081" s="317"/>
      <c r="AF1081" s="317"/>
      <c r="AG1081" s="317"/>
      <c r="AH1081" s="317"/>
      <c r="AI1081" s="317"/>
      <c r="AJ1081" s="317"/>
      <c r="AK1081" s="317"/>
      <c r="AL1081" s="317"/>
      <c r="AM1081" s="317"/>
      <c r="AN1081" s="315"/>
      <c r="AO1081" s="315"/>
      <c r="AP1081" s="315"/>
      <c r="AQ1081" s="315"/>
      <c r="AR1081" s="315"/>
      <c r="AS1081" s="315"/>
      <c r="AT1081" s="25"/>
      <c r="AU1081" s="25"/>
      <c r="AV1081" s="25"/>
      <c r="AW1081" s="25"/>
      <c r="AX1081" s="25"/>
    </row>
    <row r="1082" spans="1:50" s="35" customFormat="1" ht="15" customHeight="1" x14ac:dyDescent="0.2">
      <c r="A1082" s="25"/>
      <c r="B1082" s="25"/>
      <c r="C1082" s="736" t="s">
        <v>1912</v>
      </c>
      <c r="D1082" s="736"/>
      <c r="E1082" s="736"/>
      <c r="F1082" s="736"/>
      <c r="G1082" s="736"/>
      <c r="H1082" s="736"/>
      <c r="I1082" s="736"/>
      <c r="J1082" s="736"/>
      <c r="K1082" s="736"/>
      <c r="L1082" s="736"/>
      <c r="M1082" s="736"/>
      <c r="N1082" s="736"/>
      <c r="O1082" s="736"/>
      <c r="P1082" s="736"/>
      <c r="Q1082" s="736"/>
      <c r="R1082" s="736"/>
      <c r="S1082" s="736"/>
      <c r="T1082" s="736"/>
      <c r="U1082" s="736"/>
      <c r="V1082" s="736"/>
      <c r="W1082" s="736"/>
      <c r="X1082" s="736"/>
      <c r="Y1082" s="736"/>
      <c r="Z1082" s="736"/>
      <c r="AA1082" s="736"/>
      <c r="AB1082" s="736"/>
      <c r="AC1082" s="736"/>
      <c r="AD1082" s="736"/>
      <c r="AE1082" s="736"/>
      <c r="AF1082" s="736"/>
      <c r="AG1082" s="736"/>
      <c r="AH1082" s="736"/>
      <c r="AI1082" s="736"/>
      <c r="AJ1082" s="736"/>
      <c r="AK1082" s="736"/>
      <c r="AL1082" s="736"/>
      <c r="AM1082" s="736"/>
      <c r="AN1082" s="736"/>
      <c r="AO1082" s="736"/>
      <c r="AP1082" s="736"/>
      <c r="AQ1082" s="736"/>
      <c r="AR1082" s="736"/>
      <c r="AS1082" s="736"/>
      <c r="AT1082" s="25"/>
      <c r="AU1082" s="25"/>
      <c r="AV1082" s="25"/>
      <c r="AW1082" s="25"/>
      <c r="AX1082" s="25"/>
    </row>
    <row r="1083" spans="1:50" s="35" customFormat="1" ht="15" customHeight="1" x14ac:dyDescent="0.25">
      <c r="A1083" s="25"/>
      <c r="B1083" s="25"/>
      <c r="C1083" s="507" t="s">
        <v>306</v>
      </c>
      <c r="D1083" s="507"/>
      <c r="E1083" s="737" t="s">
        <v>1906</v>
      </c>
      <c r="F1083" s="737"/>
      <c r="G1083" s="737"/>
      <c r="H1083" s="737"/>
      <c r="I1083" s="737"/>
      <c r="J1083" s="515" t="s">
        <v>1910</v>
      </c>
      <c r="K1083" s="515"/>
      <c r="L1083" s="515"/>
      <c r="M1083" s="515"/>
      <c r="N1083" s="515"/>
      <c r="O1083" s="515"/>
      <c r="P1083" s="515"/>
      <c r="Q1083" s="515"/>
      <c r="R1083" s="515"/>
      <c r="S1083" s="515"/>
      <c r="T1083" s="515"/>
      <c r="U1083" s="515"/>
      <c r="V1083" s="515"/>
      <c r="W1083" s="515"/>
      <c r="X1083" s="515"/>
      <c r="Y1083" s="515" t="s">
        <v>1907</v>
      </c>
      <c r="Z1083" s="515"/>
      <c r="AA1083" s="515"/>
      <c r="AB1083" s="515" t="s">
        <v>31</v>
      </c>
      <c r="AC1083" s="515"/>
      <c r="AD1083" s="515"/>
      <c r="AE1083" s="515" t="s">
        <v>974</v>
      </c>
      <c r="AF1083" s="515"/>
      <c r="AG1083" s="515"/>
      <c r="AH1083" s="514" t="s">
        <v>1908</v>
      </c>
      <c r="AI1083" s="515"/>
      <c r="AJ1083" s="515"/>
      <c r="AK1083" s="515" t="s">
        <v>1909</v>
      </c>
      <c r="AL1083" s="515"/>
      <c r="AM1083" s="515"/>
      <c r="AN1083" s="513" t="s">
        <v>907</v>
      </c>
      <c r="AO1083" s="513"/>
      <c r="AP1083" s="513"/>
      <c r="AQ1083" s="513"/>
      <c r="AR1083" s="513"/>
      <c r="AS1083" s="513"/>
      <c r="AT1083" s="25"/>
      <c r="AU1083" s="25"/>
      <c r="AV1083" s="25"/>
      <c r="AW1083" s="25"/>
      <c r="AX1083" s="25"/>
    </row>
    <row r="1084" spans="1:50" s="35" customFormat="1" ht="15" customHeight="1" x14ac:dyDescent="0.2">
      <c r="A1084" s="25"/>
      <c r="B1084" s="25"/>
      <c r="C1084" s="739" t="s">
        <v>1914</v>
      </c>
      <c r="D1084" s="739"/>
      <c r="E1084" s="739"/>
      <c r="F1084" s="739"/>
      <c r="G1084" s="739"/>
      <c r="H1084" s="739"/>
      <c r="I1084" s="739"/>
      <c r="J1084" s="739"/>
      <c r="K1084" s="739"/>
      <c r="L1084" s="739"/>
      <c r="M1084" s="739"/>
      <c r="N1084" s="739"/>
      <c r="O1084" s="739"/>
      <c r="P1084" s="739"/>
      <c r="Q1084" s="739"/>
      <c r="R1084" s="739"/>
      <c r="S1084" s="739"/>
      <c r="T1084" s="739"/>
      <c r="U1084" s="739"/>
      <c r="V1084" s="739"/>
      <c r="W1084" s="739"/>
      <c r="X1084" s="739"/>
      <c r="Y1084" s="739"/>
      <c r="Z1084" s="739"/>
      <c r="AA1084" s="739"/>
      <c r="AB1084" s="739"/>
      <c r="AC1084" s="739"/>
      <c r="AD1084" s="739"/>
      <c r="AE1084" s="739"/>
      <c r="AF1084" s="739"/>
      <c r="AG1084" s="739"/>
      <c r="AH1084" s="739"/>
      <c r="AI1084" s="739"/>
      <c r="AJ1084" s="739"/>
      <c r="AK1084" s="739"/>
      <c r="AL1084" s="739"/>
      <c r="AM1084" s="739"/>
      <c r="AN1084" s="739"/>
      <c r="AO1084" s="739"/>
      <c r="AP1084" s="739"/>
      <c r="AQ1084" s="739"/>
      <c r="AR1084" s="739"/>
      <c r="AS1084" s="739"/>
      <c r="AT1084" s="25"/>
      <c r="AU1084" s="25"/>
      <c r="AV1084" s="25"/>
      <c r="AW1084" s="25"/>
      <c r="AX1084" s="25"/>
    </row>
    <row r="1085" spans="1:50" s="35" customFormat="1" ht="15" customHeight="1" x14ac:dyDescent="0.25">
      <c r="A1085" s="25"/>
      <c r="B1085" s="25"/>
      <c r="C1085" s="508">
        <v>25</v>
      </c>
      <c r="D1085" s="508"/>
      <c r="E1085" s="513" t="s">
        <v>1901</v>
      </c>
      <c r="F1085" s="513"/>
      <c r="G1085" s="513"/>
      <c r="H1085" s="513"/>
      <c r="I1085" s="513"/>
      <c r="J1085" s="512" t="s">
        <v>1506</v>
      </c>
      <c r="K1085" s="512"/>
      <c r="L1085" s="512"/>
      <c r="M1085" s="512"/>
      <c r="N1085" s="512"/>
      <c r="O1085" s="512"/>
      <c r="P1085" s="512"/>
      <c r="Q1085" s="512"/>
      <c r="R1085" s="512"/>
      <c r="S1085" s="512"/>
      <c r="T1085" s="512"/>
      <c r="U1085" s="512"/>
      <c r="V1085" s="512"/>
      <c r="W1085" s="512"/>
      <c r="X1085" s="512"/>
      <c r="Y1085" s="507" t="s">
        <v>1487</v>
      </c>
      <c r="Z1085" s="507"/>
      <c r="AA1085" s="507"/>
      <c r="AB1085" s="507" t="s">
        <v>1488</v>
      </c>
      <c r="AC1085" s="507"/>
      <c r="AD1085" s="507"/>
      <c r="AE1085" s="507">
        <v>260</v>
      </c>
      <c r="AF1085" s="507"/>
      <c r="AG1085" s="507"/>
      <c r="AH1085" s="507">
        <v>3.5</v>
      </c>
      <c r="AI1085" s="507"/>
      <c r="AJ1085" s="507"/>
      <c r="AK1085" s="507" t="s">
        <v>1490</v>
      </c>
      <c r="AL1085" s="507"/>
      <c r="AM1085" s="507"/>
      <c r="AN1085" s="509">
        <f>VLOOKUP(E1085,'Выгрузка из 1С'!$B$4:$K$2000,10,FALSE)</f>
        <v>14690.2</v>
      </c>
      <c r="AO1085" s="509"/>
      <c r="AP1085" s="509"/>
      <c r="AQ1085" s="509"/>
      <c r="AR1085" s="509"/>
      <c r="AS1085" s="509"/>
      <c r="AT1085" s="25"/>
      <c r="AU1085" s="25"/>
      <c r="AV1085" s="25"/>
      <c r="AW1085" s="25"/>
      <c r="AX1085" s="25"/>
    </row>
    <row r="1086" spans="1:50" s="35" customFormat="1" ht="15" customHeight="1" x14ac:dyDescent="0.25">
      <c r="A1086" s="25"/>
      <c r="B1086" s="25"/>
      <c r="C1086" s="508">
        <v>25</v>
      </c>
      <c r="D1086" s="508"/>
      <c r="E1086" s="513" t="s">
        <v>1703</v>
      </c>
      <c r="F1086" s="513"/>
      <c r="G1086" s="513"/>
      <c r="H1086" s="513"/>
      <c r="I1086" s="513"/>
      <c r="J1086" s="512" t="s">
        <v>1507</v>
      </c>
      <c r="K1086" s="512"/>
      <c r="L1086" s="512"/>
      <c r="M1086" s="512"/>
      <c r="N1086" s="512"/>
      <c r="O1086" s="512"/>
      <c r="P1086" s="512"/>
      <c r="Q1086" s="512"/>
      <c r="R1086" s="512"/>
      <c r="S1086" s="512"/>
      <c r="T1086" s="512"/>
      <c r="U1086" s="512"/>
      <c r="V1086" s="512"/>
      <c r="W1086" s="512"/>
      <c r="X1086" s="512"/>
      <c r="Y1086" s="507" t="s">
        <v>1487</v>
      </c>
      <c r="Z1086" s="507"/>
      <c r="AA1086" s="507"/>
      <c r="AB1086" s="507" t="s">
        <v>1488</v>
      </c>
      <c r="AC1086" s="507"/>
      <c r="AD1086" s="507"/>
      <c r="AE1086" s="507">
        <v>260</v>
      </c>
      <c r="AF1086" s="507"/>
      <c r="AG1086" s="507"/>
      <c r="AH1086" s="507">
        <v>3.5</v>
      </c>
      <c r="AI1086" s="507"/>
      <c r="AJ1086" s="507"/>
      <c r="AK1086" s="507" t="s">
        <v>1490</v>
      </c>
      <c r="AL1086" s="507"/>
      <c r="AM1086" s="507"/>
      <c r="AN1086" s="509">
        <f>VLOOKUP(E1086,'Выгрузка из 1С'!$B$4:$K$2000,10,FALSE)</f>
        <v>15548.4</v>
      </c>
      <c r="AO1086" s="509"/>
      <c r="AP1086" s="509"/>
      <c r="AQ1086" s="509"/>
      <c r="AR1086" s="509"/>
      <c r="AS1086" s="509"/>
      <c r="AT1086" s="25"/>
      <c r="AU1086" s="25"/>
      <c r="AV1086" s="25"/>
      <c r="AW1086" s="25"/>
      <c r="AX1086" s="25"/>
    </row>
    <row r="1087" spans="1:50" s="35" customFormat="1" ht="15" customHeight="1" x14ac:dyDescent="0.25">
      <c r="A1087" s="25"/>
      <c r="B1087" s="25"/>
      <c r="C1087" s="508">
        <v>25</v>
      </c>
      <c r="D1087" s="508"/>
      <c r="E1087" s="513" t="s">
        <v>1742</v>
      </c>
      <c r="F1087" s="513"/>
      <c r="G1087" s="513"/>
      <c r="H1087" s="513"/>
      <c r="I1087" s="513"/>
      <c r="J1087" s="512" t="s">
        <v>1508</v>
      </c>
      <c r="K1087" s="512"/>
      <c r="L1087" s="512"/>
      <c r="M1087" s="512"/>
      <c r="N1087" s="512"/>
      <c r="O1087" s="512"/>
      <c r="P1087" s="512"/>
      <c r="Q1087" s="512"/>
      <c r="R1087" s="512"/>
      <c r="S1087" s="512"/>
      <c r="T1087" s="512"/>
      <c r="U1087" s="512"/>
      <c r="V1087" s="512"/>
      <c r="W1087" s="512"/>
      <c r="X1087" s="512"/>
      <c r="Y1087" s="507" t="s">
        <v>1487</v>
      </c>
      <c r="Z1087" s="507"/>
      <c r="AA1087" s="507"/>
      <c r="AB1087" s="507" t="s">
        <v>1489</v>
      </c>
      <c r="AC1087" s="507"/>
      <c r="AD1087" s="507"/>
      <c r="AE1087" s="507">
        <v>260</v>
      </c>
      <c r="AF1087" s="507"/>
      <c r="AG1087" s="507"/>
      <c r="AH1087" s="507">
        <v>3.5</v>
      </c>
      <c r="AI1087" s="507"/>
      <c r="AJ1087" s="507"/>
      <c r="AK1087" s="507" t="s">
        <v>1490</v>
      </c>
      <c r="AL1087" s="507"/>
      <c r="AM1087" s="507"/>
      <c r="AN1087" s="509">
        <f>VLOOKUP(E1087,'Выгрузка из 1С'!$B$4:$K$2000,10,FALSE)</f>
        <v>20270.599999999999</v>
      </c>
      <c r="AO1087" s="509"/>
      <c r="AP1087" s="509"/>
      <c r="AQ1087" s="509"/>
      <c r="AR1087" s="509"/>
      <c r="AS1087" s="509"/>
      <c r="AT1087" s="25"/>
      <c r="AU1087" s="25"/>
      <c r="AV1087" s="25"/>
      <c r="AW1087" s="25"/>
      <c r="AX1087" s="25"/>
    </row>
    <row r="1088" spans="1:50" s="35" customFormat="1" ht="15" customHeight="1" x14ac:dyDescent="0.25">
      <c r="A1088" s="25"/>
      <c r="B1088" s="25"/>
      <c r="C1088" s="508">
        <v>25</v>
      </c>
      <c r="D1088" s="508"/>
      <c r="E1088" s="513" t="s">
        <v>1713</v>
      </c>
      <c r="F1088" s="513"/>
      <c r="G1088" s="513"/>
      <c r="H1088" s="513"/>
      <c r="I1088" s="513"/>
      <c r="J1088" s="512" t="s">
        <v>1509</v>
      </c>
      <c r="K1088" s="512"/>
      <c r="L1088" s="512"/>
      <c r="M1088" s="512"/>
      <c r="N1088" s="512"/>
      <c r="O1088" s="512"/>
      <c r="P1088" s="512"/>
      <c r="Q1088" s="512"/>
      <c r="R1088" s="512"/>
      <c r="S1088" s="512"/>
      <c r="T1088" s="512"/>
      <c r="U1088" s="512"/>
      <c r="V1088" s="512"/>
      <c r="W1088" s="512"/>
      <c r="X1088" s="512"/>
      <c r="Y1088" s="507" t="s">
        <v>1487</v>
      </c>
      <c r="Z1088" s="507"/>
      <c r="AA1088" s="507"/>
      <c r="AB1088" s="507" t="s">
        <v>1488</v>
      </c>
      <c r="AC1088" s="507"/>
      <c r="AD1088" s="507"/>
      <c r="AE1088" s="507">
        <v>260</v>
      </c>
      <c r="AF1088" s="507"/>
      <c r="AG1088" s="507"/>
      <c r="AH1088" s="507">
        <v>3.5</v>
      </c>
      <c r="AI1088" s="507"/>
      <c r="AJ1088" s="507"/>
      <c r="AK1088" s="507" t="s">
        <v>1490</v>
      </c>
      <c r="AL1088" s="507"/>
      <c r="AM1088" s="507"/>
      <c r="AN1088" s="509">
        <f>VLOOKUP(E1088,'Выгрузка из 1С'!$B$4:$K$2000,10,FALSE)</f>
        <v>16622.2</v>
      </c>
      <c r="AO1088" s="509"/>
      <c r="AP1088" s="509"/>
      <c r="AQ1088" s="509"/>
      <c r="AR1088" s="509"/>
      <c r="AS1088" s="509"/>
      <c r="AT1088" s="25"/>
      <c r="AU1088" s="25"/>
      <c r="AV1088" s="25"/>
      <c r="AW1088" s="25"/>
      <c r="AX1088" s="25"/>
    </row>
    <row r="1089" spans="1:50" s="35" customFormat="1" ht="15" customHeight="1" x14ac:dyDescent="0.25">
      <c r="A1089" s="25"/>
      <c r="B1089" s="25"/>
      <c r="C1089" s="508">
        <v>25</v>
      </c>
      <c r="D1089" s="508"/>
      <c r="E1089" s="513" t="s">
        <v>1696</v>
      </c>
      <c r="F1089" s="513"/>
      <c r="G1089" s="513"/>
      <c r="H1089" s="513"/>
      <c r="I1089" s="513"/>
      <c r="J1089" s="512" t="s">
        <v>1510</v>
      </c>
      <c r="K1089" s="512"/>
      <c r="L1089" s="512"/>
      <c r="M1089" s="512"/>
      <c r="N1089" s="512"/>
      <c r="O1089" s="512"/>
      <c r="P1089" s="512"/>
      <c r="Q1089" s="512"/>
      <c r="R1089" s="512"/>
      <c r="S1089" s="512"/>
      <c r="T1089" s="512"/>
      <c r="U1089" s="512"/>
      <c r="V1089" s="512"/>
      <c r="W1089" s="512"/>
      <c r="X1089" s="512"/>
      <c r="Y1089" s="507" t="s">
        <v>1487</v>
      </c>
      <c r="Z1089" s="507"/>
      <c r="AA1089" s="507"/>
      <c r="AB1089" s="507" t="s">
        <v>1488</v>
      </c>
      <c r="AC1089" s="507"/>
      <c r="AD1089" s="507"/>
      <c r="AE1089" s="507">
        <v>260</v>
      </c>
      <c r="AF1089" s="507"/>
      <c r="AG1089" s="507"/>
      <c r="AH1089" s="507">
        <v>3.5</v>
      </c>
      <c r="AI1089" s="507"/>
      <c r="AJ1089" s="507"/>
      <c r="AK1089" s="507" t="s">
        <v>1490</v>
      </c>
      <c r="AL1089" s="507"/>
      <c r="AM1089" s="507"/>
      <c r="AN1089" s="509">
        <f>VLOOKUP(E1089,'Выгрузка из 1С'!$B$4:$K$2000,10,FALSE)</f>
        <v>17481.8</v>
      </c>
      <c r="AO1089" s="509"/>
      <c r="AP1089" s="509"/>
      <c r="AQ1089" s="509"/>
      <c r="AR1089" s="509"/>
      <c r="AS1089" s="509"/>
      <c r="AT1089" s="25"/>
      <c r="AU1089" s="25"/>
      <c r="AV1089" s="25"/>
      <c r="AW1089" s="25"/>
      <c r="AX1089" s="25"/>
    </row>
    <row r="1090" spans="1:50" s="35" customFormat="1" ht="15" customHeight="1" x14ac:dyDescent="0.25">
      <c r="A1090" s="25"/>
      <c r="B1090" s="25"/>
      <c r="C1090" s="508">
        <v>25</v>
      </c>
      <c r="D1090" s="508"/>
      <c r="E1090" s="513" t="s">
        <v>1712</v>
      </c>
      <c r="F1090" s="513"/>
      <c r="G1090" s="513"/>
      <c r="H1090" s="513"/>
      <c r="I1090" s="513"/>
      <c r="J1090" s="512" t="s">
        <v>1511</v>
      </c>
      <c r="K1090" s="512"/>
      <c r="L1090" s="512"/>
      <c r="M1090" s="512"/>
      <c r="N1090" s="512"/>
      <c r="O1090" s="512"/>
      <c r="P1090" s="512"/>
      <c r="Q1090" s="512"/>
      <c r="R1090" s="512"/>
      <c r="S1090" s="512"/>
      <c r="T1090" s="512"/>
      <c r="U1090" s="512"/>
      <c r="V1090" s="512"/>
      <c r="W1090" s="512"/>
      <c r="X1090" s="512"/>
      <c r="Y1090" s="507" t="s">
        <v>1487</v>
      </c>
      <c r="Z1090" s="507"/>
      <c r="AA1090" s="507"/>
      <c r="AB1090" s="507" t="s">
        <v>1489</v>
      </c>
      <c r="AC1090" s="507"/>
      <c r="AD1090" s="507"/>
      <c r="AE1090" s="507">
        <v>260</v>
      </c>
      <c r="AF1090" s="507"/>
      <c r="AG1090" s="507"/>
      <c r="AH1090" s="507">
        <v>3.5</v>
      </c>
      <c r="AI1090" s="507"/>
      <c r="AJ1090" s="507"/>
      <c r="AK1090" s="507" t="s">
        <v>1490</v>
      </c>
      <c r="AL1090" s="507"/>
      <c r="AM1090" s="507"/>
      <c r="AN1090" s="509">
        <f>VLOOKUP(E1090,'Выгрузка из 1С'!$B$4:$K$2000,10,FALSE)</f>
        <v>22853.599999999999</v>
      </c>
      <c r="AO1090" s="509"/>
      <c r="AP1090" s="509"/>
      <c r="AQ1090" s="509"/>
      <c r="AR1090" s="509"/>
      <c r="AS1090" s="509"/>
      <c r="AT1090" s="25"/>
      <c r="AU1090" s="25"/>
      <c r="AV1090" s="25"/>
      <c r="AW1090" s="25"/>
      <c r="AX1090" s="25"/>
    </row>
    <row r="1091" spans="1:50" s="35" customFormat="1" ht="15" customHeight="1" x14ac:dyDescent="0.25">
      <c r="A1091" s="25"/>
      <c r="B1091" s="25"/>
      <c r="C1091" s="508">
        <v>32</v>
      </c>
      <c r="D1091" s="508"/>
      <c r="E1091" s="513" t="s">
        <v>1739</v>
      </c>
      <c r="F1091" s="513"/>
      <c r="G1091" s="513"/>
      <c r="H1091" s="513"/>
      <c r="I1091" s="513"/>
      <c r="J1091" s="512" t="s">
        <v>1512</v>
      </c>
      <c r="K1091" s="512"/>
      <c r="L1091" s="512"/>
      <c r="M1091" s="512"/>
      <c r="N1091" s="512"/>
      <c r="O1091" s="512"/>
      <c r="P1091" s="512"/>
      <c r="Q1091" s="512"/>
      <c r="R1091" s="512"/>
      <c r="S1091" s="512"/>
      <c r="T1091" s="512"/>
      <c r="U1091" s="512"/>
      <c r="V1091" s="512"/>
      <c r="W1091" s="512"/>
      <c r="X1091" s="512"/>
      <c r="Y1091" s="507" t="s">
        <v>1487</v>
      </c>
      <c r="Z1091" s="507"/>
      <c r="AA1091" s="507"/>
      <c r="AB1091" s="507" t="s">
        <v>1488</v>
      </c>
      <c r="AC1091" s="507"/>
      <c r="AD1091" s="507"/>
      <c r="AE1091" s="507">
        <v>260</v>
      </c>
      <c r="AF1091" s="507"/>
      <c r="AG1091" s="507"/>
      <c r="AH1091" s="507">
        <v>6</v>
      </c>
      <c r="AI1091" s="507"/>
      <c r="AJ1091" s="507"/>
      <c r="AK1091" s="507" t="s">
        <v>1490</v>
      </c>
      <c r="AL1091" s="507"/>
      <c r="AM1091" s="507"/>
      <c r="AN1091" s="509">
        <f>VLOOKUP(E1091,'Выгрузка из 1С'!$B$4:$K$2000,10,FALSE)</f>
        <v>15771</v>
      </c>
      <c r="AO1091" s="509"/>
      <c r="AP1091" s="509"/>
      <c r="AQ1091" s="509"/>
      <c r="AR1091" s="509"/>
      <c r="AS1091" s="509"/>
      <c r="AT1091" s="25"/>
      <c r="AU1091" s="25"/>
      <c r="AV1091" s="25"/>
      <c r="AW1091" s="25"/>
      <c r="AX1091" s="25"/>
    </row>
    <row r="1092" spans="1:50" s="35" customFormat="1" ht="15" customHeight="1" x14ac:dyDescent="0.25">
      <c r="A1092" s="25"/>
      <c r="B1092" s="25"/>
      <c r="C1092" s="508">
        <v>32</v>
      </c>
      <c r="D1092" s="508"/>
      <c r="E1092" s="513" t="s">
        <v>1738</v>
      </c>
      <c r="F1092" s="513"/>
      <c r="G1092" s="513"/>
      <c r="H1092" s="513"/>
      <c r="I1092" s="513"/>
      <c r="J1092" s="512" t="s">
        <v>1513</v>
      </c>
      <c r="K1092" s="512"/>
      <c r="L1092" s="512"/>
      <c r="M1092" s="512"/>
      <c r="N1092" s="512"/>
      <c r="O1092" s="512"/>
      <c r="P1092" s="512"/>
      <c r="Q1092" s="512"/>
      <c r="R1092" s="512"/>
      <c r="S1092" s="512"/>
      <c r="T1092" s="512"/>
      <c r="U1092" s="512"/>
      <c r="V1092" s="512"/>
      <c r="W1092" s="512"/>
      <c r="X1092" s="512"/>
      <c r="Y1092" s="507" t="s">
        <v>1487</v>
      </c>
      <c r="Z1092" s="507"/>
      <c r="AA1092" s="507"/>
      <c r="AB1092" s="507" t="s">
        <v>1488</v>
      </c>
      <c r="AC1092" s="507"/>
      <c r="AD1092" s="507"/>
      <c r="AE1092" s="507">
        <v>260</v>
      </c>
      <c r="AF1092" s="507"/>
      <c r="AG1092" s="507"/>
      <c r="AH1092" s="507">
        <v>6</v>
      </c>
      <c r="AI1092" s="507"/>
      <c r="AJ1092" s="507"/>
      <c r="AK1092" s="507" t="s">
        <v>1490</v>
      </c>
      <c r="AL1092" s="507"/>
      <c r="AM1092" s="507"/>
      <c r="AN1092" s="509">
        <f>VLOOKUP(E1092,'Выгрузка из 1С'!$B$4:$K$2000,10,FALSE)</f>
        <v>16630.599999999999</v>
      </c>
      <c r="AO1092" s="509"/>
      <c r="AP1092" s="509"/>
      <c r="AQ1092" s="509"/>
      <c r="AR1092" s="509"/>
      <c r="AS1092" s="509"/>
      <c r="AT1092" s="25"/>
      <c r="AU1092" s="25"/>
      <c r="AV1092" s="25"/>
      <c r="AW1092" s="25"/>
      <c r="AX1092" s="25"/>
    </row>
    <row r="1093" spans="1:50" s="35" customFormat="1" ht="15" customHeight="1" x14ac:dyDescent="0.25">
      <c r="A1093" s="25"/>
      <c r="B1093" s="25"/>
      <c r="C1093" s="508">
        <v>32</v>
      </c>
      <c r="D1093" s="508"/>
      <c r="E1093" s="513" t="s">
        <v>1737</v>
      </c>
      <c r="F1093" s="513"/>
      <c r="G1093" s="513"/>
      <c r="H1093" s="513"/>
      <c r="I1093" s="513"/>
      <c r="J1093" s="512" t="s">
        <v>1514</v>
      </c>
      <c r="K1093" s="512"/>
      <c r="L1093" s="512"/>
      <c r="M1093" s="512"/>
      <c r="N1093" s="512"/>
      <c r="O1093" s="512"/>
      <c r="P1093" s="512"/>
      <c r="Q1093" s="512"/>
      <c r="R1093" s="512"/>
      <c r="S1093" s="512"/>
      <c r="T1093" s="512"/>
      <c r="U1093" s="512"/>
      <c r="V1093" s="512"/>
      <c r="W1093" s="512"/>
      <c r="X1093" s="512"/>
      <c r="Y1093" s="507" t="s">
        <v>1487</v>
      </c>
      <c r="Z1093" s="507"/>
      <c r="AA1093" s="507"/>
      <c r="AB1093" s="507" t="s">
        <v>1489</v>
      </c>
      <c r="AC1093" s="507"/>
      <c r="AD1093" s="507"/>
      <c r="AE1093" s="507">
        <v>260</v>
      </c>
      <c r="AF1093" s="507"/>
      <c r="AG1093" s="507"/>
      <c r="AH1093" s="507">
        <v>6</v>
      </c>
      <c r="AI1093" s="507"/>
      <c r="AJ1093" s="507"/>
      <c r="AK1093" s="507" t="s">
        <v>1490</v>
      </c>
      <c r="AL1093" s="507"/>
      <c r="AM1093" s="507"/>
      <c r="AN1093" s="509">
        <f>VLOOKUP(E1093,'Выгрузка из 1С'!$B$4:$K$2000,10,FALSE)</f>
        <v>20918.8</v>
      </c>
      <c r="AO1093" s="509"/>
      <c r="AP1093" s="509"/>
      <c r="AQ1093" s="509"/>
      <c r="AR1093" s="509"/>
      <c r="AS1093" s="509"/>
      <c r="AT1093" s="25"/>
      <c r="AU1093" s="25"/>
      <c r="AV1093" s="25"/>
      <c r="AW1093" s="25"/>
      <c r="AX1093" s="25"/>
    </row>
    <row r="1094" spans="1:50" s="35" customFormat="1" ht="15" customHeight="1" x14ac:dyDescent="0.25">
      <c r="A1094" s="25"/>
      <c r="B1094" s="25"/>
      <c r="C1094" s="508">
        <v>32</v>
      </c>
      <c r="D1094" s="508"/>
      <c r="E1094" s="513" t="s">
        <v>1711</v>
      </c>
      <c r="F1094" s="513"/>
      <c r="G1094" s="513"/>
      <c r="H1094" s="513"/>
      <c r="I1094" s="513"/>
      <c r="J1094" s="512" t="s">
        <v>1515</v>
      </c>
      <c r="K1094" s="512"/>
      <c r="L1094" s="512"/>
      <c r="M1094" s="512"/>
      <c r="N1094" s="512"/>
      <c r="O1094" s="512"/>
      <c r="P1094" s="512"/>
      <c r="Q1094" s="512"/>
      <c r="R1094" s="512"/>
      <c r="S1094" s="512"/>
      <c r="T1094" s="512"/>
      <c r="U1094" s="512"/>
      <c r="V1094" s="512"/>
      <c r="W1094" s="512"/>
      <c r="X1094" s="512"/>
      <c r="Y1094" s="507" t="s">
        <v>1487</v>
      </c>
      <c r="Z1094" s="507"/>
      <c r="AA1094" s="507"/>
      <c r="AB1094" s="507" t="s">
        <v>1488</v>
      </c>
      <c r="AC1094" s="507"/>
      <c r="AD1094" s="507"/>
      <c r="AE1094" s="507">
        <v>260</v>
      </c>
      <c r="AF1094" s="507"/>
      <c r="AG1094" s="507"/>
      <c r="AH1094" s="507">
        <v>6</v>
      </c>
      <c r="AI1094" s="507"/>
      <c r="AJ1094" s="507"/>
      <c r="AK1094" s="507" t="s">
        <v>1490</v>
      </c>
      <c r="AL1094" s="507"/>
      <c r="AM1094" s="507"/>
      <c r="AN1094" s="509">
        <f>VLOOKUP(E1094,'Выгрузка из 1С'!$B$4:$K$2000,10,FALSE)</f>
        <v>17691.8</v>
      </c>
      <c r="AO1094" s="509"/>
      <c r="AP1094" s="509"/>
      <c r="AQ1094" s="509"/>
      <c r="AR1094" s="509"/>
      <c r="AS1094" s="509"/>
      <c r="AT1094" s="25"/>
      <c r="AU1094" s="25"/>
      <c r="AV1094" s="25"/>
      <c r="AW1094" s="25"/>
      <c r="AX1094" s="25"/>
    </row>
    <row r="1095" spans="1:50" s="35" customFormat="1" ht="15" customHeight="1" x14ac:dyDescent="0.25">
      <c r="A1095" s="25"/>
      <c r="B1095" s="25"/>
      <c r="C1095" s="508">
        <v>32</v>
      </c>
      <c r="D1095" s="508"/>
      <c r="E1095" s="513" t="s">
        <v>1694</v>
      </c>
      <c r="F1095" s="513"/>
      <c r="G1095" s="513"/>
      <c r="H1095" s="513"/>
      <c r="I1095" s="513"/>
      <c r="J1095" s="512" t="s">
        <v>1516</v>
      </c>
      <c r="K1095" s="512"/>
      <c r="L1095" s="512"/>
      <c r="M1095" s="512"/>
      <c r="N1095" s="512"/>
      <c r="O1095" s="512"/>
      <c r="P1095" s="512"/>
      <c r="Q1095" s="512"/>
      <c r="R1095" s="512"/>
      <c r="S1095" s="512"/>
      <c r="T1095" s="512"/>
      <c r="U1095" s="512"/>
      <c r="V1095" s="512"/>
      <c r="W1095" s="512"/>
      <c r="X1095" s="512"/>
      <c r="Y1095" s="507" t="s">
        <v>1487</v>
      </c>
      <c r="Z1095" s="507"/>
      <c r="AA1095" s="507"/>
      <c r="AB1095" s="507" t="s">
        <v>1488</v>
      </c>
      <c r="AC1095" s="507"/>
      <c r="AD1095" s="507"/>
      <c r="AE1095" s="507">
        <v>260</v>
      </c>
      <c r="AF1095" s="507"/>
      <c r="AG1095" s="507"/>
      <c r="AH1095" s="507">
        <v>6</v>
      </c>
      <c r="AI1095" s="507"/>
      <c r="AJ1095" s="507"/>
      <c r="AK1095" s="507" t="s">
        <v>1490</v>
      </c>
      <c r="AL1095" s="507"/>
      <c r="AM1095" s="507"/>
      <c r="AN1095" s="509">
        <f>VLOOKUP(E1095,'Выгрузка из 1С'!$B$4:$K$2000,10,FALSE)</f>
        <v>18550</v>
      </c>
      <c r="AO1095" s="509"/>
      <c r="AP1095" s="509"/>
      <c r="AQ1095" s="509"/>
      <c r="AR1095" s="509"/>
      <c r="AS1095" s="509"/>
      <c r="AT1095" s="25"/>
      <c r="AU1095" s="25"/>
      <c r="AV1095" s="25"/>
      <c r="AW1095" s="25"/>
      <c r="AX1095" s="25"/>
    </row>
    <row r="1096" spans="1:50" s="35" customFormat="1" ht="15" customHeight="1" x14ac:dyDescent="0.25">
      <c r="A1096" s="25"/>
      <c r="B1096" s="25"/>
      <c r="C1096" s="508">
        <v>32</v>
      </c>
      <c r="D1096" s="508"/>
      <c r="E1096" s="513" t="s">
        <v>1710</v>
      </c>
      <c r="F1096" s="513"/>
      <c r="G1096" s="513"/>
      <c r="H1096" s="513"/>
      <c r="I1096" s="513"/>
      <c r="J1096" s="512" t="s">
        <v>1517</v>
      </c>
      <c r="K1096" s="512"/>
      <c r="L1096" s="512"/>
      <c r="M1096" s="512"/>
      <c r="N1096" s="512"/>
      <c r="O1096" s="512"/>
      <c r="P1096" s="512"/>
      <c r="Q1096" s="512"/>
      <c r="R1096" s="512"/>
      <c r="S1096" s="512"/>
      <c r="T1096" s="512"/>
      <c r="U1096" s="512"/>
      <c r="V1096" s="512"/>
      <c r="W1096" s="512"/>
      <c r="X1096" s="512"/>
      <c r="Y1096" s="507" t="s">
        <v>1487</v>
      </c>
      <c r="Z1096" s="507"/>
      <c r="AA1096" s="507"/>
      <c r="AB1096" s="507" t="s">
        <v>1489</v>
      </c>
      <c r="AC1096" s="507"/>
      <c r="AD1096" s="507"/>
      <c r="AE1096" s="507">
        <v>260</v>
      </c>
      <c r="AF1096" s="507"/>
      <c r="AG1096" s="507"/>
      <c r="AH1096" s="507">
        <v>6</v>
      </c>
      <c r="AI1096" s="507"/>
      <c r="AJ1096" s="507"/>
      <c r="AK1096" s="507" t="s">
        <v>1490</v>
      </c>
      <c r="AL1096" s="507"/>
      <c r="AM1096" s="507"/>
      <c r="AN1096" s="509">
        <f>VLOOKUP(E1096,'Выгрузка из 1С'!$B$4:$K$2000,10,FALSE)</f>
        <v>23279.200000000001</v>
      </c>
      <c r="AO1096" s="509"/>
      <c r="AP1096" s="509"/>
      <c r="AQ1096" s="509"/>
      <c r="AR1096" s="509"/>
      <c r="AS1096" s="509"/>
      <c r="AT1096" s="25"/>
      <c r="AU1096" s="25"/>
      <c r="AV1096" s="25"/>
      <c r="AW1096" s="25"/>
      <c r="AX1096" s="25"/>
    </row>
    <row r="1097" spans="1:50" s="35" customFormat="1" ht="15" customHeight="1" x14ac:dyDescent="0.25">
      <c r="A1097" s="25"/>
      <c r="B1097" s="25"/>
      <c r="C1097" s="508">
        <v>40</v>
      </c>
      <c r="D1097" s="508"/>
      <c r="E1097" s="513" t="s">
        <v>1900</v>
      </c>
      <c r="F1097" s="513"/>
      <c r="G1097" s="513"/>
      <c r="H1097" s="513"/>
      <c r="I1097" s="513"/>
      <c r="J1097" s="512" t="s">
        <v>1518</v>
      </c>
      <c r="K1097" s="512"/>
      <c r="L1097" s="512"/>
      <c r="M1097" s="512"/>
      <c r="N1097" s="512"/>
      <c r="O1097" s="512"/>
      <c r="P1097" s="512"/>
      <c r="Q1097" s="512"/>
      <c r="R1097" s="512"/>
      <c r="S1097" s="512"/>
      <c r="T1097" s="512"/>
      <c r="U1097" s="512"/>
      <c r="V1097" s="512"/>
      <c r="W1097" s="512"/>
      <c r="X1097" s="512"/>
      <c r="Y1097" s="507" t="s">
        <v>1487</v>
      </c>
      <c r="Z1097" s="507"/>
      <c r="AA1097" s="507"/>
      <c r="AB1097" s="507" t="s">
        <v>1488</v>
      </c>
      <c r="AC1097" s="507"/>
      <c r="AD1097" s="507"/>
      <c r="AE1097" s="507">
        <v>300</v>
      </c>
      <c r="AF1097" s="507"/>
      <c r="AG1097" s="507"/>
      <c r="AH1097" s="507">
        <v>10</v>
      </c>
      <c r="AI1097" s="507"/>
      <c r="AJ1097" s="507"/>
      <c r="AK1097" s="507" t="s">
        <v>1490</v>
      </c>
      <c r="AL1097" s="507"/>
      <c r="AM1097" s="507"/>
      <c r="AN1097" s="509">
        <f>VLOOKUP(E1097,'Выгрузка из 1С'!$B$4:$K$2000,10,FALSE)</f>
        <v>18456.2</v>
      </c>
      <c r="AO1097" s="509"/>
      <c r="AP1097" s="509"/>
      <c r="AQ1097" s="509"/>
      <c r="AR1097" s="509"/>
      <c r="AS1097" s="509"/>
      <c r="AT1097" s="25"/>
      <c r="AU1097" s="25"/>
      <c r="AV1097" s="25"/>
      <c r="AW1097" s="25"/>
      <c r="AX1097" s="25"/>
    </row>
    <row r="1098" spans="1:50" s="35" customFormat="1" ht="15" customHeight="1" x14ac:dyDescent="0.25">
      <c r="A1098" s="25"/>
      <c r="B1098" s="25"/>
      <c r="C1098" s="508">
        <v>40</v>
      </c>
      <c r="D1098" s="508"/>
      <c r="E1098" s="513" t="s">
        <v>1702</v>
      </c>
      <c r="F1098" s="513"/>
      <c r="G1098" s="513"/>
      <c r="H1098" s="513"/>
      <c r="I1098" s="513"/>
      <c r="J1098" s="512" t="s">
        <v>1519</v>
      </c>
      <c r="K1098" s="512"/>
      <c r="L1098" s="512"/>
      <c r="M1098" s="512"/>
      <c r="N1098" s="512"/>
      <c r="O1098" s="512"/>
      <c r="P1098" s="512"/>
      <c r="Q1098" s="512"/>
      <c r="R1098" s="512"/>
      <c r="S1098" s="512"/>
      <c r="T1098" s="512"/>
      <c r="U1098" s="512"/>
      <c r="V1098" s="512"/>
      <c r="W1098" s="512"/>
      <c r="X1098" s="512"/>
      <c r="Y1098" s="507" t="s">
        <v>1487</v>
      </c>
      <c r="Z1098" s="507"/>
      <c r="AA1098" s="507"/>
      <c r="AB1098" s="507" t="s">
        <v>1488</v>
      </c>
      <c r="AC1098" s="507"/>
      <c r="AD1098" s="507"/>
      <c r="AE1098" s="507">
        <v>300</v>
      </c>
      <c r="AF1098" s="507"/>
      <c r="AG1098" s="507"/>
      <c r="AH1098" s="507">
        <v>10</v>
      </c>
      <c r="AI1098" s="507"/>
      <c r="AJ1098" s="507"/>
      <c r="AK1098" s="507" t="s">
        <v>1490</v>
      </c>
      <c r="AL1098" s="507"/>
      <c r="AM1098" s="507"/>
      <c r="AN1098" s="509">
        <f>VLOOKUP(E1098,'Выгрузка из 1С'!$B$4:$K$2000,10,FALSE)</f>
        <v>19314.400000000001</v>
      </c>
      <c r="AO1098" s="509"/>
      <c r="AP1098" s="509"/>
      <c r="AQ1098" s="509"/>
      <c r="AR1098" s="509"/>
      <c r="AS1098" s="509"/>
      <c r="AT1098" s="25"/>
      <c r="AU1098" s="25"/>
      <c r="AV1098" s="25"/>
      <c r="AW1098" s="25"/>
      <c r="AX1098" s="25"/>
    </row>
    <row r="1099" spans="1:50" s="35" customFormat="1" ht="15" customHeight="1" x14ac:dyDescent="0.25">
      <c r="A1099" s="25"/>
      <c r="B1099" s="25"/>
      <c r="C1099" s="508">
        <v>40</v>
      </c>
      <c r="D1099" s="508"/>
      <c r="E1099" s="513" t="s">
        <v>1736</v>
      </c>
      <c r="F1099" s="513"/>
      <c r="G1099" s="513"/>
      <c r="H1099" s="513"/>
      <c r="I1099" s="513"/>
      <c r="J1099" s="512" t="s">
        <v>1520</v>
      </c>
      <c r="K1099" s="512"/>
      <c r="L1099" s="512"/>
      <c r="M1099" s="512"/>
      <c r="N1099" s="512"/>
      <c r="O1099" s="512"/>
      <c r="P1099" s="512"/>
      <c r="Q1099" s="512"/>
      <c r="R1099" s="512"/>
      <c r="S1099" s="512"/>
      <c r="T1099" s="512"/>
      <c r="U1099" s="512"/>
      <c r="V1099" s="512"/>
      <c r="W1099" s="512"/>
      <c r="X1099" s="512"/>
      <c r="Y1099" s="507" t="s">
        <v>1487</v>
      </c>
      <c r="Z1099" s="507"/>
      <c r="AA1099" s="507"/>
      <c r="AB1099" s="507" t="s">
        <v>1489</v>
      </c>
      <c r="AC1099" s="507"/>
      <c r="AD1099" s="507"/>
      <c r="AE1099" s="507">
        <v>300</v>
      </c>
      <c r="AF1099" s="507"/>
      <c r="AG1099" s="507"/>
      <c r="AH1099" s="507">
        <v>10</v>
      </c>
      <c r="AI1099" s="507"/>
      <c r="AJ1099" s="507"/>
      <c r="AK1099" s="507" t="s">
        <v>1490</v>
      </c>
      <c r="AL1099" s="507"/>
      <c r="AM1099" s="507"/>
      <c r="AN1099" s="509">
        <f>VLOOKUP(E1099,'Выгрузка из 1С'!$B$4:$K$2000,10,FALSE)</f>
        <v>24579.8</v>
      </c>
      <c r="AO1099" s="509"/>
      <c r="AP1099" s="509"/>
      <c r="AQ1099" s="509"/>
      <c r="AR1099" s="509"/>
      <c r="AS1099" s="509"/>
      <c r="AT1099" s="25"/>
      <c r="AU1099" s="25"/>
      <c r="AV1099" s="25"/>
      <c r="AW1099" s="25"/>
      <c r="AX1099" s="25"/>
    </row>
    <row r="1100" spans="1:50" s="35" customFormat="1" ht="15" customHeight="1" x14ac:dyDescent="0.25">
      <c r="A1100" s="25"/>
      <c r="B1100" s="25"/>
      <c r="C1100" s="508">
        <v>40</v>
      </c>
      <c r="D1100" s="508"/>
      <c r="E1100" s="513" t="s">
        <v>1809</v>
      </c>
      <c r="F1100" s="513"/>
      <c r="G1100" s="513"/>
      <c r="H1100" s="513"/>
      <c r="I1100" s="513"/>
      <c r="J1100" s="512" t="s">
        <v>1521</v>
      </c>
      <c r="K1100" s="512"/>
      <c r="L1100" s="512"/>
      <c r="M1100" s="512"/>
      <c r="N1100" s="512"/>
      <c r="O1100" s="512"/>
      <c r="P1100" s="512"/>
      <c r="Q1100" s="512"/>
      <c r="R1100" s="512"/>
      <c r="S1100" s="512"/>
      <c r="T1100" s="512"/>
      <c r="U1100" s="512"/>
      <c r="V1100" s="512"/>
      <c r="W1100" s="512"/>
      <c r="X1100" s="512"/>
      <c r="Y1100" s="507" t="s">
        <v>1487</v>
      </c>
      <c r="Z1100" s="507"/>
      <c r="AA1100" s="507"/>
      <c r="AB1100" s="507" t="s">
        <v>1488</v>
      </c>
      <c r="AC1100" s="507"/>
      <c r="AD1100" s="507"/>
      <c r="AE1100" s="507">
        <v>300</v>
      </c>
      <c r="AF1100" s="507"/>
      <c r="AG1100" s="507"/>
      <c r="AH1100" s="507">
        <v>10</v>
      </c>
      <c r="AI1100" s="507"/>
      <c r="AJ1100" s="507"/>
      <c r="AK1100" s="507" t="s">
        <v>1490</v>
      </c>
      <c r="AL1100" s="507"/>
      <c r="AM1100" s="507"/>
      <c r="AN1100" s="509">
        <f>VLOOKUP(E1100,'Выгрузка из 1С'!$B$4:$K$2000,10,FALSE)</f>
        <v>20498.8</v>
      </c>
      <c r="AO1100" s="509"/>
      <c r="AP1100" s="509"/>
      <c r="AQ1100" s="509"/>
      <c r="AR1100" s="509"/>
      <c r="AS1100" s="509"/>
      <c r="AT1100" s="25"/>
      <c r="AU1100" s="25"/>
      <c r="AV1100" s="25"/>
      <c r="AW1100" s="25"/>
      <c r="AX1100" s="25"/>
    </row>
    <row r="1101" spans="1:50" s="35" customFormat="1" ht="15" customHeight="1" x14ac:dyDescent="0.25">
      <c r="A1101" s="25"/>
      <c r="B1101" s="25"/>
      <c r="C1101" s="508">
        <v>40</v>
      </c>
      <c r="D1101" s="508"/>
      <c r="E1101" s="513" t="s">
        <v>1709</v>
      </c>
      <c r="F1101" s="513"/>
      <c r="G1101" s="513"/>
      <c r="H1101" s="513"/>
      <c r="I1101" s="513"/>
      <c r="J1101" s="512" t="s">
        <v>1522</v>
      </c>
      <c r="K1101" s="512"/>
      <c r="L1101" s="512"/>
      <c r="M1101" s="512"/>
      <c r="N1101" s="512"/>
      <c r="O1101" s="512"/>
      <c r="P1101" s="512"/>
      <c r="Q1101" s="512"/>
      <c r="R1101" s="512"/>
      <c r="S1101" s="512"/>
      <c r="T1101" s="512"/>
      <c r="U1101" s="512"/>
      <c r="V1101" s="512"/>
      <c r="W1101" s="512"/>
      <c r="X1101" s="512"/>
      <c r="Y1101" s="507" t="s">
        <v>1487</v>
      </c>
      <c r="Z1101" s="507"/>
      <c r="AA1101" s="507"/>
      <c r="AB1101" s="507" t="s">
        <v>1488</v>
      </c>
      <c r="AC1101" s="507"/>
      <c r="AD1101" s="507"/>
      <c r="AE1101" s="507">
        <v>300</v>
      </c>
      <c r="AF1101" s="507"/>
      <c r="AG1101" s="507"/>
      <c r="AH1101" s="507">
        <v>10</v>
      </c>
      <c r="AI1101" s="507"/>
      <c r="AJ1101" s="507"/>
      <c r="AK1101" s="507" t="s">
        <v>1490</v>
      </c>
      <c r="AL1101" s="507"/>
      <c r="AM1101" s="507"/>
      <c r="AN1101" s="509">
        <f>VLOOKUP(E1101,'Выгрузка из 1С'!$B$4:$K$2000,10,FALSE)</f>
        <v>21357</v>
      </c>
      <c r="AO1101" s="509"/>
      <c r="AP1101" s="509"/>
      <c r="AQ1101" s="509"/>
      <c r="AR1101" s="509"/>
      <c r="AS1101" s="509"/>
      <c r="AT1101" s="25"/>
      <c r="AU1101" s="25"/>
      <c r="AV1101" s="25"/>
      <c r="AW1101" s="25"/>
      <c r="AX1101" s="25"/>
    </row>
    <row r="1102" spans="1:50" s="35" customFormat="1" ht="15" customHeight="1" x14ac:dyDescent="0.25">
      <c r="A1102" s="25"/>
      <c r="B1102" s="25"/>
      <c r="C1102" s="508">
        <v>40</v>
      </c>
      <c r="D1102" s="508"/>
      <c r="E1102" s="513" t="s">
        <v>1708</v>
      </c>
      <c r="F1102" s="513"/>
      <c r="G1102" s="513"/>
      <c r="H1102" s="513"/>
      <c r="I1102" s="513"/>
      <c r="J1102" s="512" t="s">
        <v>1523</v>
      </c>
      <c r="K1102" s="512"/>
      <c r="L1102" s="512"/>
      <c r="M1102" s="512"/>
      <c r="N1102" s="512"/>
      <c r="O1102" s="512"/>
      <c r="P1102" s="512"/>
      <c r="Q1102" s="512"/>
      <c r="R1102" s="512"/>
      <c r="S1102" s="512"/>
      <c r="T1102" s="512"/>
      <c r="U1102" s="512"/>
      <c r="V1102" s="512"/>
      <c r="W1102" s="512"/>
      <c r="X1102" s="512"/>
      <c r="Y1102" s="507" t="s">
        <v>1487</v>
      </c>
      <c r="Z1102" s="507"/>
      <c r="AA1102" s="507"/>
      <c r="AB1102" s="507" t="s">
        <v>1489</v>
      </c>
      <c r="AC1102" s="507"/>
      <c r="AD1102" s="507"/>
      <c r="AE1102" s="507">
        <v>300</v>
      </c>
      <c r="AF1102" s="507"/>
      <c r="AG1102" s="507"/>
      <c r="AH1102" s="507">
        <v>10</v>
      </c>
      <c r="AI1102" s="507"/>
      <c r="AJ1102" s="507"/>
      <c r="AK1102" s="507" t="s">
        <v>1490</v>
      </c>
      <c r="AL1102" s="507"/>
      <c r="AM1102" s="507"/>
      <c r="AN1102" s="509">
        <f>VLOOKUP(E1102,'Выгрузка из 1С'!$B$4:$K$2000,10,FALSE)</f>
        <v>27588.400000000001</v>
      </c>
      <c r="AO1102" s="509"/>
      <c r="AP1102" s="509"/>
      <c r="AQ1102" s="509"/>
      <c r="AR1102" s="509"/>
      <c r="AS1102" s="509"/>
      <c r="AT1102" s="25"/>
      <c r="AU1102" s="25"/>
      <c r="AV1102" s="25"/>
      <c r="AW1102" s="25"/>
      <c r="AX1102" s="25"/>
    </row>
    <row r="1103" spans="1:50" s="35" customFormat="1" ht="15" customHeight="1" x14ac:dyDescent="0.2">
      <c r="A1103" s="25"/>
      <c r="B1103" s="25"/>
      <c r="C1103" s="511" t="s">
        <v>1915</v>
      </c>
      <c r="D1103" s="511"/>
      <c r="E1103" s="511"/>
      <c r="F1103" s="511"/>
      <c r="G1103" s="511"/>
      <c r="H1103" s="511"/>
      <c r="I1103" s="511"/>
      <c r="J1103" s="511"/>
      <c r="K1103" s="511"/>
      <c r="L1103" s="511"/>
      <c r="M1103" s="511"/>
      <c r="N1103" s="511"/>
      <c r="O1103" s="511"/>
      <c r="P1103" s="511"/>
      <c r="Q1103" s="511"/>
      <c r="R1103" s="511"/>
      <c r="S1103" s="511"/>
      <c r="T1103" s="511"/>
      <c r="U1103" s="511"/>
      <c r="V1103" s="511"/>
      <c r="W1103" s="511"/>
      <c r="X1103" s="511"/>
      <c r="Y1103" s="511"/>
      <c r="Z1103" s="511"/>
      <c r="AA1103" s="511"/>
      <c r="AB1103" s="511"/>
      <c r="AC1103" s="511"/>
      <c r="AD1103" s="511"/>
      <c r="AE1103" s="511"/>
      <c r="AF1103" s="511"/>
      <c r="AG1103" s="511"/>
      <c r="AH1103" s="511"/>
      <c r="AI1103" s="511"/>
      <c r="AJ1103" s="511"/>
      <c r="AK1103" s="511"/>
      <c r="AL1103" s="511"/>
      <c r="AM1103" s="511"/>
      <c r="AN1103" s="511"/>
      <c r="AO1103" s="511"/>
      <c r="AP1103" s="511"/>
      <c r="AQ1103" s="511"/>
      <c r="AR1103" s="511"/>
      <c r="AS1103" s="511"/>
      <c r="AT1103" s="25"/>
      <c r="AU1103" s="25"/>
      <c r="AV1103" s="25"/>
      <c r="AW1103" s="25"/>
      <c r="AX1103" s="25"/>
    </row>
    <row r="1104" spans="1:50" s="35" customFormat="1" ht="15" customHeight="1" x14ac:dyDescent="0.25">
      <c r="A1104" s="25"/>
      <c r="B1104" s="25"/>
      <c r="C1104" s="508">
        <v>25</v>
      </c>
      <c r="D1104" s="508"/>
      <c r="E1104" s="513" t="s">
        <v>1780</v>
      </c>
      <c r="F1104" s="513"/>
      <c r="G1104" s="513"/>
      <c r="H1104" s="513"/>
      <c r="I1104" s="513"/>
      <c r="J1104" s="512" t="s">
        <v>1524</v>
      </c>
      <c r="K1104" s="512"/>
      <c r="L1104" s="512"/>
      <c r="M1104" s="512"/>
      <c r="N1104" s="512"/>
      <c r="O1104" s="512"/>
      <c r="P1104" s="512"/>
      <c r="Q1104" s="512"/>
      <c r="R1104" s="512"/>
      <c r="S1104" s="512"/>
      <c r="T1104" s="512"/>
      <c r="U1104" s="512"/>
      <c r="V1104" s="512"/>
      <c r="W1104" s="512"/>
      <c r="X1104" s="512"/>
      <c r="Y1104" s="507" t="s">
        <v>1487</v>
      </c>
      <c r="Z1104" s="507"/>
      <c r="AA1104" s="507"/>
      <c r="AB1104" s="507" t="s">
        <v>1488</v>
      </c>
      <c r="AC1104" s="507"/>
      <c r="AD1104" s="507"/>
      <c r="AE1104" s="507">
        <v>260</v>
      </c>
      <c r="AF1104" s="507"/>
      <c r="AG1104" s="507"/>
      <c r="AH1104" s="507">
        <v>3.5</v>
      </c>
      <c r="AI1104" s="507"/>
      <c r="AJ1104" s="507"/>
      <c r="AK1104" s="507" t="s">
        <v>423</v>
      </c>
      <c r="AL1104" s="507"/>
      <c r="AM1104" s="507"/>
      <c r="AN1104" s="509">
        <f>VLOOKUP(E1104,'Выгрузка из 1С'!$B$4:$K$2000,10,FALSE)</f>
        <v>18018</v>
      </c>
      <c r="AO1104" s="509"/>
      <c r="AP1104" s="509"/>
      <c r="AQ1104" s="509"/>
      <c r="AR1104" s="509"/>
      <c r="AS1104" s="509"/>
      <c r="AT1104" s="25"/>
      <c r="AU1104" s="25"/>
      <c r="AV1104" s="25"/>
      <c r="AW1104" s="25"/>
      <c r="AX1104" s="25"/>
    </row>
    <row r="1105" spans="1:50" s="35" customFormat="1" ht="15" customHeight="1" x14ac:dyDescent="0.25">
      <c r="A1105" s="25"/>
      <c r="B1105" s="25"/>
      <c r="C1105" s="508">
        <v>25</v>
      </c>
      <c r="D1105" s="508"/>
      <c r="E1105" s="513" t="s">
        <v>1895</v>
      </c>
      <c r="F1105" s="513"/>
      <c r="G1105" s="513"/>
      <c r="H1105" s="513"/>
      <c r="I1105" s="513"/>
      <c r="J1105" s="512" t="s">
        <v>1525</v>
      </c>
      <c r="K1105" s="512"/>
      <c r="L1105" s="512"/>
      <c r="M1105" s="512"/>
      <c r="N1105" s="512"/>
      <c r="O1105" s="512"/>
      <c r="P1105" s="512"/>
      <c r="Q1105" s="512"/>
      <c r="R1105" s="512"/>
      <c r="S1105" s="512"/>
      <c r="T1105" s="512"/>
      <c r="U1105" s="512"/>
      <c r="V1105" s="512"/>
      <c r="W1105" s="512"/>
      <c r="X1105" s="512"/>
      <c r="Y1105" s="507" t="s">
        <v>1487</v>
      </c>
      <c r="Z1105" s="507"/>
      <c r="AA1105" s="507"/>
      <c r="AB1105" s="507" t="s">
        <v>1488</v>
      </c>
      <c r="AC1105" s="507"/>
      <c r="AD1105" s="507"/>
      <c r="AE1105" s="507">
        <v>260</v>
      </c>
      <c r="AF1105" s="507"/>
      <c r="AG1105" s="507"/>
      <c r="AH1105" s="507">
        <v>3.5</v>
      </c>
      <c r="AI1105" s="507"/>
      <c r="AJ1105" s="507"/>
      <c r="AK1105" s="507" t="s">
        <v>423</v>
      </c>
      <c r="AL1105" s="507"/>
      <c r="AM1105" s="507"/>
      <c r="AN1105" s="509">
        <f>VLOOKUP(E1105,'Выгрузка из 1С'!$B$4:$K$2000,10,FALSE)</f>
        <v>22603</v>
      </c>
      <c r="AO1105" s="509"/>
      <c r="AP1105" s="509"/>
      <c r="AQ1105" s="509"/>
      <c r="AR1105" s="509"/>
      <c r="AS1105" s="509"/>
      <c r="AT1105" s="25"/>
      <c r="AU1105" s="25"/>
      <c r="AV1105" s="25"/>
      <c r="AW1105" s="25"/>
      <c r="AX1105" s="25"/>
    </row>
    <row r="1106" spans="1:50" s="35" customFormat="1" ht="15" customHeight="1" x14ac:dyDescent="0.25">
      <c r="A1106" s="25"/>
      <c r="B1106" s="25"/>
      <c r="C1106" s="508">
        <v>32</v>
      </c>
      <c r="D1106" s="508"/>
      <c r="E1106" s="513" t="s">
        <v>1778</v>
      </c>
      <c r="F1106" s="513"/>
      <c r="G1106" s="513"/>
      <c r="H1106" s="513"/>
      <c r="I1106" s="513"/>
      <c r="J1106" s="512" t="s">
        <v>1526</v>
      </c>
      <c r="K1106" s="512"/>
      <c r="L1106" s="512"/>
      <c r="M1106" s="512"/>
      <c r="N1106" s="512"/>
      <c r="O1106" s="512"/>
      <c r="P1106" s="512"/>
      <c r="Q1106" s="512"/>
      <c r="R1106" s="512"/>
      <c r="S1106" s="512"/>
      <c r="T1106" s="512"/>
      <c r="U1106" s="512"/>
      <c r="V1106" s="512"/>
      <c r="W1106" s="512"/>
      <c r="X1106" s="512"/>
      <c r="Y1106" s="507" t="s">
        <v>1487</v>
      </c>
      <c r="Z1106" s="507"/>
      <c r="AA1106" s="507"/>
      <c r="AB1106" s="507" t="s">
        <v>1488</v>
      </c>
      <c r="AC1106" s="507"/>
      <c r="AD1106" s="507"/>
      <c r="AE1106" s="507">
        <v>260</v>
      </c>
      <c r="AF1106" s="507"/>
      <c r="AG1106" s="507"/>
      <c r="AH1106" s="507">
        <v>6</v>
      </c>
      <c r="AI1106" s="507"/>
      <c r="AJ1106" s="507"/>
      <c r="AK1106" s="507" t="s">
        <v>423</v>
      </c>
      <c r="AL1106" s="507"/>
      <c r="AM1106" s="507"/>
      <c r="AN1106" s="509">
        <f>VLOOKUP(E1106,'Выгрузка из 1С'!$B$4:$K$2000,10,FALSE)</f>
        <v>19364.8</v>
      </c>
      <c r="AO1106" s="509"/>
      <c r="AP1106" s="509"/>
      <c r="AQ1106" s="509"/>
      <c r="AR1106" s="509"/>
      <c r="AS1106" s="509"/>
      <c r="AT1106" s="25"/>
      <c r="AU1106" s="25"/>
      <c r="AV1106" s="25"/>
      <c r="AW1106" s="25"/>
      <c r="AX1106" s="25"/>
    </row>
    <row r="1107" spans="1:50" s="35" customFormat="1" ht="15" customHeight="1" x14ac:dyDescent="0.25">
      <c r="A1107" s="25"/>
      <c r="B1107" s="25"/>
      <c r="C1107" s="508">
        <v>32</v>
      </c>
      <c r="D1107" s="508"/>
      <c r="E1107" s="513" t="s">
        <v>1759</v>
      </c>
      <c r="F1107" s="513"/>
      <c r="G1107" s="513"/>
      <c r="H1107" s="513"/>
      <c r="I1107" s="513"/>
      <c r="J1107" s="512" t="s">
        <v>1527</v>
      </c>
      <c r="K1107" s="512"/>
      <c r="L1107" s="512"/>
      <c r="M1107" s="512"/>
      <c r="N1107" s="512"/>
      <c r="O1107" s="512"/>
      <c r="P1107" s="512"/>
      <c r="Q1107" s="512"/>
      <c r="R1107" s="512"/>
      <c r="S1107" s="512"/>
      <c r="T1107" s="512"/>
      <c r="U1107" s="512"/>
      <c r="V1107" s="512"/>
      <c r="W1107" s="512"/>
      <c r="X1107" s="512"/>
      <c r="Y1107" s="507" t="s">
        <v>1487</v>
      </c>
      <c r="Z1107" s="507"/>
      <c r="AA1107" s="507"/>
      <c r="AB1107" s="507" t="s">
        <v>1488</v>
      </c>
      <c r="AC1107" s="507"/>
      <c r="AD1107" s="507"/>
      <c r="AE1107" s="507">
        <v>260</v>
      </c>
      <c r="AF1107" s="507"/>
      <c r="AG1107" s="507"/>
      <c r="AH1107" s="507">
        <v>6</v>
      </c>
      <c r="AI1107" s="507"/>
      <c r="AJ1107" s="507"/>
      <c r="AK1107" s="507" t="s">
        <v>423</v>
      </c>
      <c r="AL1107" s="507"/>
      <c r="AM1107" s="507"/>
      <c r="AN1107" s="509">
        <f>VLOOKUP(E1107,'Выгрузка из 1С'!$B$4:$K$2000,10,FALSE)</f>
        <v>24071.599999999999</v>
      </c>
      <c r="AO1107" s="509"/>
      <c r="AP1107" s="509"/>
      <c r="AQ1107" s="509"/>
      <c r="AR1107" s="509"/>
      <c r="AS1107" s="509"/>
      <c r="AT1107" s="25"/>
      <c r="AU1107" s="25"/>
      <c r="AV1107" s="25"/>
      <c r="AW1107" s="25"/>
      <c r="AX1107" s="25"/>
    </row>
    <row r="1108" spans="1:50" s="35" customFormat="1" ht="15" customHeight="1" x14ac:dyDescent="0.25">
      <c r="A1108" s="25"/>
      <c r="B1108" s="25"/>
      <c r="C1108" s="508">
        <v>40</v>
      </c>
      <c r="D1108" s="508"/>
      <c r="E1108" s="513" t="s">
        <v>1777</v>
      </c>
      <c r="F1108" s="513"/>
      <c r="G1108" s="513"/>
      <c r="H1108" s="513"/>
      <c r="I1108" s="513"/>
      <c r="J1108" s="512" t="s">
        <v>1528</v>
      </c>
      <c r="K1108" s="512"/>
      <c r="L1108" s="512"/>
      <c r="M1108" s="512"/>
      <c r="N1108" s="512"/>
      <c r="O1108" s="512"/>
      <c r="P1108" s="512"/>
      <c r="Q1108" s="512"/>
      <c r="R1108" s="512"/>
      <c r="S1108" s="512"/>
      <c r="T1108" s="512"/>
      <c r="U1108" s="512"/>
      <c r="V1108" s="512"/>
      <c r="W1108" s="512"/>
      <c r="X1108" s="512"/>
      <c r="Y1108" s="507" t="s">
        <v>1487</v>
      </c>
      <c r="Z1108" s="507"/>
      <c r="AA1108" s="507"/>
      <c r="AB1108" s="507" t="s">
        <v>1488</v>
      </c>
      <c r="AC1108" s="507"/>
      <c r="AD1108" s="507"/>
      <c r="AE1108" s="507">
        <v>300</v>
      </c>
      <c r="AF1108" s="507"/>
      <c r="AG1108" s="507"/>
      <c r="AH1108" s="507">
        <v>10</v>
      </c>
      <c r="AI1108" s="507"/>
      <c r="AJ1108" s="507"/>
      <c r="AK1108" s="507" t="s">
        <v>423</v>
      </c>
      <c r="AL1108" s="507"/>
      <c r="AM1108" s="507"/>
      <c r="AN1108" s="509">
        <f>VLOOKUP(E1108,'Выгрузка из 1С'!$B$4:$K$2000,10,FALSE)</f>
        <v>22771</v>
      </c>
      <c r="AO1108" s="509"/>
      <c r="AP1108" s="509"/>
      <c r="AQ1108" s="509"/>
      <c r="AR1108" s="509"/>
      <c r="AS1108" s="509"/>
      <c r="AT1108" s="25"/>
      <c r="AU1108" s="25"/>
      <c r="AV1108" s="25"/>
      <c r="AW1108" s="25"/>
      <c r="AX1108" s="25"/>
    </row>
    <row r="1109" spans="1:50" s="35" customFormat="1" ht="15" customHeight="1" x14ac:dyDescent="0.25">
      <c r="A1109" s="25"/>
      <c r="B1109" s="25"/>
      <c r="C1109" s="508">
        <v>40</v>
      </c>
      <c r="D1109" s="508"/>
      <c r="E1109" s="513" t="s">
        <v>1758</v>
      </c>
      <c r="F1109" s="513"/>
      <c r="G1109" s="513"/>
      <c r="H1109" s="513"/>
      <c r="I1109" s="513"/>
      <c r="J1109" s="512" t="s">
        <v>1529</v>
      </c>
      <c r="K1109" s="512"/>
      <c r="L1109" s="512"/>
      <c r="M1109" s="512"/>
      <c r="N1109" s="512"/>
      <c r="O1109" s="512"/>
      <c r="P1109" s="512"/>
      <c r="Q1109" s="512"/>
      <c r="R1109" s="512"/>
      <c r="S1109" s="512"/>
      <c r="T1109" s="512"/>
      <c r="U1109" s="512"/>
      <c r="V1109" s="512"/>
      <c r="W1109" s="512"/>
      <c r="X1109" s="512"/>
      <c r="Y1109" s="507" t="s">
        <v>1487</v>
      </c>
      <c r="Z1109" s="507"/>
      <c r="AA1109" s="507"/>
      <c r="AB1109" s="507" t="s">
        <v>1488</v>
      </c>
      <c r="AC1109" s="507"/>
      <c r="AD1109" s="507"/>
      <c r="AE1109" s="507">
        <v>300</v>
      </c>
      <c r="AF1109" s="507"/>
      <c r="AG1109" s="507"/>
      <c r="AH1109" s="507">
        <v>10</v>
      </c>
      <c r="AI1109" s="507"/>
      <c r="AJ1109" s="507"/>
      <c r="AK1109" s="507" t="s">
        <v>423</v>
      </c>
      <c r="AL1109" s="507"/>
      <c r="AM1109" s="507"/>
      <c r="AN1109" s="509">
        <f>VLOOKUP(E1109,'Выгрузка из 1С'!$B$4:$K$2000,10,FALSE)</f>
        <v>26959.8</v>
      </c>
      <c r="AO1109" s="509"/>
      <c r="AP1109" s="509"/>
      <c r="AQ1109" s="509"/>
      <c r="AR1109" s="509"/>
      <c r="AS1109" s="509"/>
      <c r="AT1109" s="25"/>
      <c r="AU1109" s="25"/>
      <c r="AV1109" s="25"/>
      <c r="AW1109" s="25"/>
      <c r="AX1109" s="25"/>
    </row>
    <row r="1110" spans="1:50" s="35" customFormat="1" ht="15" customHeight="1" x14ac:dyDescent="0.25">
      <c r="A1110" s="25"/>
      <c r="B1110" s="25"/>
      <c r="C1110" s="314"/>
      <c r="D1110" s="314"/>
      <c r="E1110" s="315"/>
      <c r="F1110" s="315"/>
      <c r="G1110" s="315"/>
      <c r="H1110" s="315"/>
      <c r="I1110" s="315"/>
      <c r="J1110" s="318"/>
      <c r="K1110" s="318"/>
      <c r="L1110" s="318"/>
      <c r="M1110" s="318"/>
      <c r="N1110" s="318"/>
      <c r="O1110" s="318"/>
      <c r="P1110" s="318"/>
      <c r="Q1110" s="318"/>
      <c r="R1110" s="318"/>
      <c r="S1110" s="318"/>
      <c r="T1110" s="318"/>
      <c r="U1110" s="318"/>
      <c r="V1110" s="318"/>
      <c r="W1110" s="318"/>
      <c r="X1110" s="318"/>
      <c r="Y1110" s="319"/>
      <c r="Z1110" s="319"/>
      <c r="AA1110" s="319"/>
      <c r="AB1110" s="319"/>
      <c r="AC1110" s="319"/>
      <c r="AD1110" s="319"/>
      <c r="AE1110" s="319"/>
      <c r="AF1110" s="319"/>
      <c r="AG1110" s="319"/>
      <c r="AH1110" s="319"/>
      <c r="AI1110" s="319"/>
      <c r="AJ1110" s="319"/>
      <c r="AK1110" s="319"/>
      <c r="AL1110" s="319"/>
      <c r="AM1110" s="319"/>
      <c r="AN1110" s="315"/>
      <c r="AO1110" s="315"/>
      <c r="AP1110" s="315"/>
      <c r="AQ1110" s="315"/>
      <c r="AR1110" s="315"/>
      <c r="AS1110" s="315"/>
      <c r="AT1110" s="25"/>
      <c r="AU1110" s="25"/>
      <c r="AV1110" s="25"/>
      <c r="AW1110" s="25"/>
      <c r="AX1110" s="25"/>
    </row>
    <row r="1111" spans="1:50" s="35" customFormat="1" ht="15" customHeight="1" x14ac:dyDescent="0.2">
      <c r="A1111" s="25"/>
      <c r="B1111" s="25"/>
      <c r="C1111" s="736" t="s">
        <v>1916</v>
      </c>
      <c r="D1111" s="736"/>
      <c r="E1111" s="736"/>
      <c r="F1111" s="736"/>
      <c r="G1111" s="736"/>
      <c r="H1111" s="736"/>
      <c r="I1111" s="736"/>
      <c r="J1111" s="736"/>
      <c r="K1111" s="736"/>
      <c r="L1111" s="736"/>
      <c r="M1111" s="736"/>
      <c r="N1111" s="736"/>
      <c r="O1111" s="736"/>
      <c r="P1111" s="736"/>
      <c r="Q1111" s="736"/>
      <c r="R1111" s="736"/>
      <c r="S1111" s="736"/>
      <c r="T1111" s="736"/>
      <c r="U1111" s="736"/>
      <c r="V1111" s="736"/>
      <c r="W1111" s="736"/>
      <c r="X1111" s="736"/>
      <c r="Y1111" s="736"/>
      <c r="Z1111" s="736"/>
      <c r="AA1111" s="736"/>
      <c r="AB1111" s="736"/>
      <c r="AC1111" s="736"/>
      <c r="AD1111" s="736"/>
      <c r="AE1111" s="736"/>
      <c r="AF1111" s="736"/>
      <c r="AG1111" s="736"/>
      <c r="AH1111" s="736"/>
      <c r="AI1111" s="736"/>
      <c r="AJ1111" s="736"/>
      <c r="AK1111" s="736"/>
      <c r="AL1111" s="736"/>
      <c r="AM1111" s="736"/>
      <c r="AN1111" s="736"/>
      <c r="AO1111" s="736"/>
      <c r="AP1111" s="736"/>
      <c r="AQ1111" s="736"/>
      <c r="AR1111" s="736"/>
      <c r="AS1111" s="736"/>
      <c r="AT1111" s="25"/>
      <c r="AU1111" s="25"/>
      <c r="AV1111" s="25"/>
      <c r="AW1111" s="25"/>
      <c r="AX1111" s="25"/>
    </row>
    <row r="1112" spans="1:50" s="35" customFormat="1" ht="15" customHeight="1" x14ac:dyDescent="0.25">
      <c r="A1112" s="25"/>
      <c r="B1112" s="25"/>
      <c r="C1112" s="507" t="s">
        <v>306</v>
      </c>
      <c r="D1112" s="507"/>
      <c r="E1112" s="737" t="s">
        <v>1906</v>
      </c>
      <c r="F1112" s="737"/>
      <c r="G1112" s="737"/>
      <c r="H1112" s="737"/>
      <c r="I1112" s="737"/>
      <c r="J1112" s="515" t="s">
        <v>1910</v>
      </c>
      <c r="K1112" s="515"/>
      <c r="L1112" s="515"/>
      <c r="M1112" s="515"/>
      <c r="N1112" s="515"/>
      <c r="O1112" s="515"/>
      <c r="P1112" s="515"/>
      <c r="Q1112" s="515"/>
      <c r="R1112" s="515"/>
      <c r="S1112" s="515"/>
      <c r="T1112" s="515"/>
      <c r="U1112" s="515"/>
      <c r="V1112" s="515"/>
      <c r="W1112" s="515"/>
      <c r="X1112" s="515"/>
      <c r="Y1112" s="515" t="s">
        <v>1907</v>
      </c>
      <c r="Z1112" s="515"/>
      <c r="AA1112" s="515"/>
      <c r="AB1112" s="515" t="s">
        <v>31</v>
      </c>
      <c r="AC1112" s="515"/>
      <c r="AD1112" s="515"/>
      <c r="AE1112" s="515" t="s">
        <v>974</v>
      </c>
      <c r="AF1112" s="515"/>
      <c r="AG1112" s="515"/>
      <c r="AH1112" s="514" t="s">
        <v>1908</v>
      </c>
      <c r="AI1112" s="515"/>
      <c r="AJ1112" s="515"/>
      <c r="AK1112" s="515" t="s">
        <v>1909</v>
      </c>
      <c r="AL1112" s="515"/>
      <c r="AM1112" s="515"/>
      <c r="AN1112" s="513" t="s">
        <v>907</v>
      </c>
      <c r="AO1112" s="513"/>
      <c r="AP1112" s="513"/>
      <c r="AQ1112" s="513"/>
      <c r="AR1112" s="513"/>
      <c r="AS1112" s="513"/>
      <c r="AT1112" s="25"/>
      <c r="AU1112" s="25"/>
      <c r="AV1112" s="25"/>
      <c r="AW1112" s="25"/>
      <c r="AX1112" s="25"/>
    </row>
    <row r="1113" spans="1:50" s="35" customFormat="1" ht="15" customHeight="1" x14ac:dyDescent="0.2">
      <c r="A1113" s="25"/>
      <c r="B1113" s="25"/>
      <c r="C1113" s="739" t="s">
        <v>1914</v>
      </c>
      <c r="D1113" s="739"/>
      <c r="E1113" s="739"/>
      <c r="F1113" s="739"/>
      <c r="G1113" s="739"/>
      <c r="H1113" s="739"/>
      <c r="I1113" s="739"/>
      <c r="J1113" s="739"/>
      <c r="K1113" s="739"/>
      <c r="L1113" s="739"/>
      <c r="M1113" s="739"/>
      <c r="N1113" s="739"/>
      <c r="O1113" s="739"/>
      <c r="P1113" s="739"/>
      <c r="Q1113" s="739"/>
      <c r="R1113" s="739"/>
      <c r="S1113" s="739"/>
      <c r="T1113" s="739"/>
      <c r="U1113" s="739"/>
      <c r="V1113" s="739"/>
      <c r="W1113" s="739"/>
      <c r="X1113" s="739"/>
      <c r="Y1113" s="739"/>
      <c r="Z1113" s="739"/>
      <c r="AA1113" s="739"/>
      <c r="AB1113" s="739"/>
      <c r="AC1113" s="739"/>
      <c r="AD1113" s="739"/>
      <c r="AE1113" s="739"/>
      <c r="AF1113" s="739"/>
      <c r="AG1113" s="739"/>
      <c r="AH1113" s="739"/>
      <c r="AI1113" s="739"/>
      <c r="AJ1113" s="739"/>
      <c r="AK1113" s="739"/>
      <c r="AL1113" s="739"/>
      <c r="AM1113" s="739"/>
      <c r="AN1113" s="739"/>
      <c r="AO1113" s="739"/>
      <c r="AP1113" s="739"/>
      <c r="AQ1113" s="739"/>
      <c r="AR1113" s="739"/>
      <c r="AS1113" s="739"/>
      <c r="AT1113" s="25"/>
      <c r="AU1113" s="25"/>
      <c r="AV1113" s="25"/>
      <c r="AW1113" s="25"/>
      <c r="AX1113" s="25"/>
    </row>
    <row r="1114" spans="1:50" s="35" customFormat="1" ht="15" customHeight="1" x14ac:dyDescent="0.25">
      <c r="A1114" s="25"/>
      <c r="B1114" s="25"/>
      <c r="C1114" s="508">
        <v>25</v>
      </c>
      <c r="D1114" s="508"/>
      <c r="E1114" s="513" t="s">
        <v>1832</v>
      </c>
      <c r="F1114" s="513"/>
      <c r="G1114" s="513"/>
      <c r="H1114" s="513"/>
      <c r="I1114" s="513"/>
      <c r="J1114" s="512" t="s">
        <v>1530</v>
      </c>
      <c r="K1114" s="512"/>
      <c r="L1114" s="512"/>
      <c r="M1114" s="512"/>
      <c r="N1114" s="512"/>
      <c r="O1114" s="512"/>
      <c r="P1114" s="512"/>
      <c r="Q1114" s="512"/>
      <c r="R1114" s="512"/>
      <c r="S1114" s="512"/>
      <c r="T1114" s="512"/>
      <c r="U1114" s="512"/>
      <c r="V1114" s="512"/>
      <c r="W1114" s="512"/>
      <c r="X1114" s="512"/>
      <c r="Y1114" s="507" t="s">
        <v>1548</v>
      </c>
      <c r="Z1114" s="507"/>
      <c r="AA1114" s="507"/>
      <c r="AB1114" s="507" t="s">
        <v>1488</v>
      </c>
      <c r="AC1114" s="507"/>
      <c r="AD1114" s="507"/>
      <c r="AE1114" s="507">
        <v>260</v>
      </c>
      <c r="AF1114" s="507"/>
      <c r="AG1114" s="507"/>
      <c r="AH1114" s="507">
        <v>3.5</v>
      </c>
      <c r="AI1114" s="507"/>
      <c r="AJ1114" s="507"/>
      <c r="AK1114" s="507" t="s">
        <v>1490</v>
      </c>
      <c r="AL1114" s="507"/>
      <c r="AM1114" s="507"/>
      <c r="AN1114" s="509">
        <f>VLOOKUP(E1114,'Выгрузка из 1С'!$B$4:$K$2000,10,FALSE)</f>
        <v>9590</v>
      </c>
      <c r="AO1114" s="509"/>
      <c r="AP1114" s="509"/>
      <c r="AQ1114" s="509"/>
      <c r="AR1114" s="509"/>
      <c r="AS1114" s="509"/>
      <c r="AT1114" s="25"/>
      <c r="AU1114" s="25"/>
      <c r="AV1114" s="25"/>
      <c r="AW1114" s="25"/>
      <c r="AX1114" s="25"/>
    </row>
    <row r="1115" spans="1:50" s="35" customFormat="1" ht="15" customHeight="1" x14ac:dyDescent="0.25">
      <c r="A1115" s="25"/>
      <c r="B1115" s="25"/>
      <c r="C1115" s="508">
        <v>25</v>
      </c>
      <c r="D1115" s="508"/>
      <c r="E1115" s="513" t="s">
        <v>1831</v>
      </c>
      <c r="F1115" s="513"/>
      <c r="G1115" s="513"/>
      <c r="H1115" s="513"/>
      <c r="I1115" s="513"/>
      <c r="J1115" s="512" t="s">
        <v>1531</v>
      </c>
      <c r="K1115" s="512"/>
      <c r="L1115" s="512"/>
      <c r="M1115" s="512"/>
      <c r="N1115" s="512"/>
      <c r="O1115" s="512"/>
      <c r="P1115" s="512"/>
      <c r="Q1115" s="512"/>
      <c r="R1115" s="512"/>
      <c r="S1115" s="512"/>
      <c r="T1115" s="512"/>
      <c r="U1115" s="512"/>
      <c r="V1115" s="512"/>
      <c r="W1115" s="512"/>
      <c r="X1115" s="512"/>
      <c r="Y1115" s="507" t="s">
        <v>1548</v>
      </c>
      <c r="Z1115" s="507"/>
      <c r="AA1115" s="507"/>
      <c r="AB1115" s="507" t="s">
        <v>1488</v>
      </c>
      <c r="AC1115" s="507"/>
      <c r="AD1115" s="507"/>
      <c r="AE1115" s="507">
        <v>260</v>
      </c>
      <c r="AF1115" s="507"/>
      <c r="AG1115" s="507"/>
      <c r="AH1115" s="507">
        <v>3.5</v>
      </c>
      <c r="AI1115" s="507"/>
      <c r="AJ1115" s="507"/>
      <c r="AK1115" s="507" t="s">
        <v>1490</v>
      </c>
      <c r="AL1115" s="507"/>
      <c r="AM1115" s="507"/>
      <c r="AN1115" s="509">
        <f>VLOOKUP(E1115,'Выгрузка из 1С'!$B$4:$K$2000,10,FALSE)</f>
        <v>10990</v>
      </c>
      <c r="AO1115" s="509"/>
      <c r="AP1115" s="509"/>
      <c r="AQ1115" s="509"/>
      <c r="AR1115" s="509"/>
      <c r="AS1115" s="509"/>
      <c r="AT1115" s="25"/>
      <c r="AU1115" s="25"/>
      <c r="AV1115" s="25"/>
      <c r="AW1115" s="25"/>
      <c r="AX1115" s="25"/>
    </row>
    <row r="1116" spans="1:50" s="35" customFormat="1" ht="15" customHeight="1" x14ac:dyDescent="0.25">
      <c r="A1116" s="25"/>
      <c r="B1116" s="25"/>
      <c r="C1116" s="508">
        <v>25</v>
      </c>
      <c r="D1116" s="508"/>
      <c r="E1116" s="513" t="s">
        <v>1894</v>
      </c>
      <c r="F1116" s="513"/>
      <c r="G1116" s="513"/>
      <c r="H1116" s="513"/>
      <c r="I1116" s="513"/>
      <c r="J1116" s="512" t="s">
        <v>1532</v>
      </c>
      <c r="K1116" s="512"/>
      <c r="L1116" s="512"/>
      <c r="M1116" s="512"/>
      <c r="N1116" s="512"/>
      <c r="O1116" s="512"/>
      <c r="P1116" s="512"/>
      <c r="Q1116" s="512"/>
      <c r="R1116" s="512"/>
      <c r="S1116" s="512"/>
      <c r="T1116" s="512"/>
      <c r="U1116" s="512"/>
      <c r="V1116" s="512"/>
      <c r="W1116" s="512"/>
      <c r="X1116" s="512"/>
      <c r="Y1116" s="507" t="s">
        <v>1548</v>
      </c>
      <c r="Z1116" s="507"/>
      <c r="AA1116" s="507"/>
      <c r="AB1116" s="507" t="s">
        <v>1488</v>
      </c>
      <c r="AC1116" s="507"/>
      <c r="AD1116" s="507"/>
      <c r="AE1116" s="507">
        <v>260</v>
      </c>
      <c r="AF1116" s="507"/>
      <c r="AG1116" s="507"/>
      <c r="AH1116" s="507">
        <v>3.5</v>
      </c>
      <c r="AI1116" s="507"/>
      <c r="AJ1116" s="507"/>
      <c r="AK1116" s="507" t="s">
        <v>1490</v>
      </c>
      <c r="AL1116" s="507"/>
      <c r="AM1116" s="507"/>
      <c r="AN1116" s="509">
        <f>VLOOKUP(E1116,'Выгрузка из 1С'!$B$4:$K$2000,10,FALSE)</f>
        <v>10010</v>
      </c>
      <c r="AO1116" s="509"/>
      <c r="AP1116" s="509"/>
      <c r="AQ1116" s="509"/>
      <c r="AR1116" s="509"/>
      <c r="AS1116" s="509"/>
      <c r="AT1116" s="25"/>
      <c r="AU1116" s="25"/>
      <c r="AV1116" s="25"/>
      <c r="AW1116" s="25"/>
      <c r="AX1116" s="25"/>
    </row>
    <row r="1117" spans="1:50" s="35" customFormat="1" ht="15" customHeight="1" x14ac:dyDescent="0.25">
      <c r="A1117" s="25"/>
      <c r="B1117" s="25"/>
      <c r="C1117" s="508">
        <v>25</v>
      </c>
      <c r="D1117" s="508"/>
      <c r="E1117" s="513" t="s">
        <v>1893</v>
      </c>
      <c r="F1117" s="513"/>
      <c r="G1117" s="513"/>
      <c r="H1117" s="513"/>
      <c r="I1117" s="513"/>
      <c r="J1117" s="512" t="s">
        <v>1533</v>
      </c>
      <c r="K1117" s="512"/>
      <c r="L1117" s="512"/>
      <c r="M1117" s="512"/>
      <c r="N1117" s="512"/>
      <c r="O1117" s="512"/>
      <c r="P1117" s="512"/>
      <c r="Q1117" s="512"/>
      <c r="R1117" s="512"/>
      <c r="S1117" s="512"/>
      <c r="T1117" s="512"/>
      <c r="U1117" s="512"/>
      <c r="V1117" s="512"/>
      <c r="W1117" s="512"/>
      <c r="X1117" s="512"/>
      <c r="Y1117" s="507" t="s">
        <v>1548</v>
      </c>
      <c r="Z1117" s="507"/>
      <c r="AA1117" s="507"/>
      <c r="AB1117" s="507" t="s">
        <v>1488</v>
      </c>
      <c r="AC1117" s="507"/>
      <c r="AD1117" s="507"/>
      <c r="AE1117" s="507">
        <v>260</v>
      </c>
      <c r="AF1117" s="507"/>
      <c r="AG1117" s="507"/>
      <c r="AH1117" s="507">
        <v>3.5</v>
      </c>
      <c r="AI1117" s="507"/>
      <c r="AJ1117" s="507"/>
      <c r="AK1117" s="507" t="s">
        <v>1490</v>
      </c>
      <c r="AL1117" s="507"/>
      <c r="AM1117" s="507"/>
      <c r="AN1117" s="509">
        <f>VLOOKUP(E1117,'Выгрузка из 1С'!$B$4:$K$2000,10,FALSE)</f>
        <v>11480</v>
      </c>
      <c r="AO1117" s="509"/>
      <c r="AP1117" s="509"/>
      <c r="AQ1117" s="509"/>
      <c r="AR1117" s="509"/>
      <c r="AS1117" s="509"/>
      <c r="AT1117" s="25"/>
      <c r="AU1117" s="25"/>
      <c r="AV1117" s="25"/>
      <c r="AW1117" s="25"/>
      <c r="AX1117" s="25"/>
    </row>
    <row r="1118" spans="1:50" s="35" customFormat="1" ht="15" customHeight="1" x14ac:dyDescent="0.25">
      <c r="A1118" s="25"/>
      <c r="B1118" s="25"/>
      <c r="C1118" s="508">
        <v>25</v>
      </c>
      <c r="D1118" s="508"/>
      <c r="E1118" s="513" t="s">
        <v>1892</v>
      </c>
      <c r="F1118" s="513"/>
      <c r="G1118" s="513"/>
      <c r="H1118" s="513"/>
      <c r="I1118" s="513"/>
      <c r="J1118" s="512" t="s">
        <v>1534</v>
      </c>
      <c r="K1118" s="512"/>
      <c r="L1118" s="512"/>
      <c r="M1118" s="512"/>
      <c r="N1118" s="512"/>
      <c r="O1118" s="512"/>
      <c r="P1118" s="512"/>
      <c r="Q1118" s="512"/>
      <c r="R1118" s="512"/>
      <c r="S1118" s="512"/>
      <c r="T1118" s="512"/>
      <c r="U1118" s="512"/>
      <c r="V1118" s="512"/>
      <c r="W1118" s="512"/>
      <c r="X1118" s="512"/>
      <c r="Y1118" s="507" t="s">
        <v>1548</v>
      </c>
      <c r="Z1118" s="507"/>
      <c r="AA1118" s="507"/>
      <c r="AB1118" s="507" t="s">
        <v>1489</v>
      </c>
      <c r="AC1118" s="507"/>
      <c r="AD1118" s="507"/>
      <c r="AE1118" s="507">
        <v>260</v>
      </c>
      <c r="AF1118" s="507"/>
      <c r="AG1118" s="507"/>
      <c r="AH1118" s="507">
        <v>3.5</v>
      </c>
      <c r="AI1118" s="507"/>
      <c r="AJ1118" s="507"/>
      <c r="AK1118" s="507" t="s">
        <v>1490</v>
      </c>
      <c r="AL1118" s="507"/>
      <c r="AM1118" s="507"/>
      <c r="AN1118" s="509">
        <f>VLOOKUP(E1118,'Выгрузка из 1С'!$B$4:$K$2000,10,FALSE)</f>
        <v>10500</v>
      </c>
      <c r="AO1118" s="509"/>
      <c r="AP1118" s="509"/>
      <c r="AQ1118" s="509"/>
      <c r="AR1118" s="509"/>
      <c r="AS1118" s="509"/>
      <c r="AT1118" s="25"/>
      <c r="AU1118" s="25"/>
      <c r="AV1118" s="25"/>
      <c r="AW1118" s="25"/>
      <c r="AX1118" s="25"/>
    </row>
    <row r="1119" spans="1:50" s="35" customFormat="1" ht="15" customHeight="1" x14ac:dyDescent="0.25">
      <c r="A1119" s="25"/>
      <c r="B1119" s="25"/>
      <c r="C1119" s="508">
        <v>25</v>
      </c>
      <c r="D1119" s="508"/>
      <c r="E1119" s="513" t="s">
        <v>1829</v>
      </c>
      <c r="F1119" s="513"/>
      <c r="G1119" s="513"/>
      <c r="H1119" s="513"/>
      <c r="I1119" s="513"/>
      <c r="J1119" s="512" t="s">
        <v>1535</v>
      </c>
      <c r="K1119" s="512"/>
      <c r="L1119" s="512"/>
      <c r="M1119" s="512"/>
      <c r="N1119" s="512"/>
      <c r="O1119" s="512"/>
      <c r="P1119" s="512"/>
      <c r="Q1119" s="512"/>
      <c r="R1119" s="512"/>
      <c r="S1119" s="512"/>
      <c r="T1119" s="512"/>
      <c r="U1119" s="512"/>
      <c r="V1119" s="512"/>
      <c r="W1119" s="512"/>
      <c r="X1119" s="512"/>
      <c r="Y1119" s="507" t="s">
        <v>1548</v>
      </c>
      <c r="Z1119" s="507"/>
      <c r="AA1119" s="507"/>
      <c r="AB1119" s="507" t="s">
        <v>1489</v>
      </c>
      <c r="AC1119" s="507"/>
      <c r="AD1119" s="507"/>
      <c r="AE1119" s="507">
        <v>260</v>
      </c>
      <c r="AF1119" s="507"/>
      <c r="AG1119" s="507"/>
      <c r="AH1119" s="507">
        <v>3.5</v>
      </c>
      <c r="AI1119" s="507"/>
      <c r="AJ1119" s="507"/>
      <c r="AK1119" s="507" t="s">
        <v>1490</v>
      </c>
      <c r="AL1119" s="507"/>
      <c r="AM1119" s="507"/>
      <c r="AN1119" s="509">
        <f>VLOOKUP(E1119,'Выгрузка из 1С'!$B$4:$K$2000,10,FALSE)</f>
        <v>13160</v>
      </c>
      <c r="AO1119" s="509"/>
      <c r="AP1119" s="509"/>
      <c r="AQ1119" s="509"/>
      <c r="AR1119" s="509"/>
      <c r="AS1119" s="509"/>
      <c r="AT1119" s="25"/>
      <c r="AU1119" s="25"/>
      <c r="AV1119" s="25"/>
      <c r="AW1119" s="25"/>
      <c r="AX1119" s="25"/>
    </row>
    <row r="1120" spans="1:50" s="35" customFormat="1" ht="15" customHeight="1" x14ac:dyDescent="0.25">
      <c r="A1120" s="25"/>
      <c r="B1120" s="25"/>
      <c r="C1120" s="508">
        <v>32</v>
      </c>
      <c r="D1120" s="508"/>
      <c r="E1120" s="513" t="s">
        <v>1830</v>
      </c>
      <c r="F1120" s="513"/>
      <c r="G1120" s="513"/>
      <c r="H1120" s="513"/>
      <c r="I1120" s="513"/>
      <c r="J1120" s="512" t="s">
        <v>1536</v>
      </c>
      <c r="K1120" s="512"/>
      <c r="L1120" s="512"/>
      <c r="M1120" s="512"/>
      <c r="N1120" s="512"/>
      <c r="O1120" s="512"/>
      <c r="P1120" s="512"/>
      <c r="Q1120" s="512"/>
      <c r="R1120" s="512"/>
      <c r="S1120" s="512"/>
      <c r="T1120" s="512"/>
      <c r="U1120" s="512"/>
      <c r="V1120" s="512"/>
      <c r="W1120" s="512"/>
      <c r="X1120" s="512"/>
      <c r="Y1120" s="507" t="s">
        <v>1548</v>
      </c>
      <c r="Z1120" s="507"/>
      <c r="AA1120" s="507"/>
      <c r="AB1120" s="507" t="s">
        <v>1488</v>
      </c>
      <c r="AC1120" s="507"/>
      <c r="AD1120" s="507"/>
      <c r="AE1120" s="507">
        <v>260</v>
      </c>
      <c r="AF1120" s="507"/>
      <c r="AG1120" s="507"/>
      <c r="AH1120" s="507">
        <v>6</v>
      </c>
      <c r="AI1120" s="507"/>
      <c r="AJ1120" s="507"/>
      <c r="AK1120" s="507" t="s">
        <v>1490</v>
      </c>
      <c r="AL1120" s="507"/>
      <c r="AM1120" s="507"/>
      <c r="AN1120" s="509">
        <f>VLOOKUP(E1120,'Выгрузка из 1С'!$B$4:$K$2000,10,FALSE)</f>
        <v>11340</v>
      </c>
      <c r="AO1120" s="509"/>
      <c r="AP1120" s="509"/>
      <c r="AQ1120" s="509"/>
      <c r="AR1120" s="509"/>
      <c r="AS1120" s="509"/>
      <c r="AT1120" s="25"/>
      <c r="AU1120" s="25"/>
      <c r="AV1120" s="25"/>
      <c r="AW1120" s="25"/>
      <c r="AX1120" s="25"/>
    </row>
    <row r="1121" spans="1:50" s="35" customFormat="1" ht="15" customHeight="1" x14ac:dyDescent="0.25">
      <c r="A1121" s="25"/>
      <c r="B1121" s="25"/>
      <c r="C1121" s="508">
        <v>32</v>
      </c>
      <c r="D1121" s="508"/>
      <c r="E1121" s="513" t="s">
        <v>1828</v>
      </c>
      <c r="F1121" s="513"/>
      <c r="G1121" s="513"/>
      <c r="H1121" s="513"/>
      <c r="I1121" s="513"/>
      <c r="J1121" s="512" t="s">
        <v>1537</v>
      </c>
      <c r="K1121" s="512"/>
      <c r="L1121" s="512"/>
      <c r="M1121" s="512"/>
      <c r="N1121" s="512"/>
      <c r="O1121" s="512"/>
      <c r="P1121" s="512"/>
      <c r="Q1121" s="512"/>
      <c r="R1121" s="512"/>
      <c r="S1121" s="512"/>
      <c r="T1121" s="512"/>
      <c r="U1121" s="512"/>
      <c r="V1121" s="512"/>
      <c r="W1121" s="512"/>
      <c r="X1121" s="512"/>
      <c r="Y1121" s="507" t="s">
        <v>1548</v>
      </c>
      <c r="Z1121" s="507"/>
      <c r="AA1121" s="507"/>
      <c r="AB1121" s="507" t="s">
        <v>1488</v>
      </c>
      <c r="AC1121" s="507"/>
      <c r="AD1121" s="507"/>
      <c r="AE1121" s="507">
        <v>260</v>
      </c>
      <c r="AF1121" s="507"/>
      <c r="AG1121" s="507"/>
      <c r="AH1121" s="507">
        <v>6</v>
      </c>
      <c r="AI1121" s="507"/>
      <c r="AJ1121" s="507"/>
      <c r="AK1121" s="507" t="s">
        <v>1490</v>
      </c>
      <c r="AL1121" s="507"/>
      <c r="AM1121" s="507"/>
      <c r="AN1121" s="509">
        <f>VLOOKUP(E1121,'Выгрузка из 1С'!$B$4:$K$2000,10,FALSE)</f>
        <v>12880</v>
      </c>
      <c r="AO1121" s="509"/>
      <c r="AP1121" s="509"/>
      <c r="AQ1121" s="509"/>
      <c r="AR1121" s="509"/>
      <c r="AS1121" s="509"/>
      <c r="AT1121" s="25"/>
      <c r="AU1121" s="25"/>
      <c r="AV1121" s="25"/>
      <c r="AW1121" s="25"/>
      <c r="AX1121" s="25"/>
    </row>
    <row r="1122" spans="1:50" s="35" customFormat="1" ht="15" customHeight="1" x14ac:dyDescent="0.25">
      <c r="A1122" s="25"/>
      <c r="B1122" s="25"/>
      <c r="C1122" s="508">
        <v>32</v>
      </c>
      <c r="D1122" s="508"/>
      <c r="E1122" s="513" t="s">
        <v>1889</v>
      </c>
      <c r="F1122" s="513"/>
      <c r="G1122" s="513"/>
      <c r="H1122" s="513"/>
      <c r="I1122" s="513"/>
      <c r="J1122" s="512" t="s">
        <v>1538</v>
      </c>
      <c r="K1122" s="512"/>
      <c r="L1122" s="512"/>
      <c r="M1122" s="512"/>
      <c r="N1122" s="512"/>
      <c r="O1122" s="512"/>
      <c r="P1122" s="512"/>
      <c r="Q1122" s="512"/>
      <c r="R1122" s="512"/>
      <c r="S1122" s="512"/>
      <c r="T1122" s="512"/>
      <c r="U1122" s="512"/>
      <c r="V1122" s="512"/>
      <c r="W1122" s="512"/>
      <c r="X1122" s="512"/>
      <c r="Y1122" s="507" t="s">
        <v>1548</v>
      </c>
      <c r="Z1122" s="507"/>
      <c r="AA1122" s="507"/>
      <c r="AB1122" s="507" t="s">
        <v>1488</v>
      </c>
      <c r="AC1122" s="507"/>
      <c r="AD1122" s="507"/>
      <c r="AE1122" s="507">
        <v>260</v>
      </c>
      <c r="AF1122" s="507"/>
      <c r="AG1122" s="507"/>
      <c r="AH1122" s="507">
        <v>6</v>
      </c>
      <c r="AI1122" s="507"/>
      <c r="AJ1122" s="507"/>
      <c r="AK1122" s="507" t="s">
        <v>1490</v>
      </c>
      <c r="AL1122" s="507"/>
      <c r="AM1122" s="507"/>
      <c r="AN1122" s="509">
        <f>VLOOKUP(E1122,'Выгрузка из 1С'!$B$4:$K$2000,10,FALSE)</f>
        <v>11830</v>
      </c>
      <c r="AO1122" s="509"/>
      <c r="AP1122" s="509"/>
      <c r="AQ1122" s="509"/>
      <c r="AR1122" s="509"/>
      <c r="AS1122" s="509"/>
      <c r="AT1122" s="25"/>
      <c r="AU1122" s="25"/>
      <c r="AV1122" s="25"/>
      <c r="AW1122" s="25"/>
      <c r="AX1122" s="25"/>
    </row>
    <row r="1123" spans="1:50" s="35" customFormat="1" ht="15" customHeight="1" x14ac:dyDescent="0.25">
      <c r="A1123" s="25"/>
      <c r="B1123" s="25"/>
      <c r="C1123" s="508">
        <v>32</v>
      </c>
      <c r="D1123" s="508"/>
      <c r="E1123" s="513" t="s">
        <v>1888</v>
      </c>
      <c r="F1123" s="513"/>
      <c r="G1123" s="513"/>
      <c r="H1123" s="513"/>
      <c r="I1123" s="513"/>
      <c r="J1123" s="512" t="s">
        <v>1539</v>
      </c>
      <c r="K1123" s="512"/>
      <c r="L1123" s="512"/>
      <c r="M1123" s="512"/>
      <c r="N1123" s="512"/>
      <c r="O1123" s="512"/>
      <c r="P1123" s="512"/>
      <c r="Q1123" s="512"/>
      <c r="R1123" s="512"/>
      <c r="S1123" s="512"/>
      <c r="T1123" s="512"/>
      <c r="U1123" s="512"/>
      <c r="V1123" s="512"/>
      <c r="W1123" s="512"/>
      <c r="X1123" s="512"/>
      <c r="Y1123" s="507" t="s">
        <v>1548</v>
      </c>
      <c r="Z1123" s="507"/>
      <c r="AA1123" s="507"/>
      <c r="AB1123" s="507" t="s">
        <v>1488</v>
      </c>
      <c r="AC1123" s="507"/>
      <c r="AD1123" s="507"/>
      <c r="AE1123" s="507">
        <v>260</v>
      </c>
      <c r="AF1123" s="507"/>
      <c r="AG1123" s="507"/>
      <c r="AH1123" s="507">
        <v>6</v>
      </c>
      <c r="AI1123" s="507"/>
      <c r="AJ1123" s="507"/>
      <c r="AK1123" s="507" t="s">
        <v>1490</v>
      </c>
      <c r="AL1123" s="507"/>
      <c r="AM1123" s="507"/>
      <c r="AN1123" s="509">
        <f>VLOOKUP(E1123,'Выгрузка из 1С'!$B$4:$K$2000,10,FALSE)</f>
        <v>13300</v>
      </c>
      <c r="AO1123" s="509"/>
      <c r="AP1123" s="509"/>
      <c r="AQ1123" s="509"/>
      <c r="AR1123" s="509"/>
      <c r="AS1123" s="509"/>
      <c r="AT1123" s="25"/>
      <c r="AU1123" s="25"/>
      <c r="AV1123" s="25"/>
      <c r="AW1123" s="25"/>
      <c r="AX1123" s="25"/>
    </row>
    <row r="1124" spans="1:50" s="35" customFormat="1" ht="15" customHeight="1" x14ac:dyDescent="0.25">
      <c r="A1124" s="25"/>
      <c r="B1124" s="25"/>
      <c r="C1124" s="508">
        <v>32</v>
      </c>
      <c r="D1124" s="508"/>
      <c r="E1124" s="513" t="s">
        <v>1887</v>
      </c>
      <c r="F1124" s="513"/>
      <c r="G1124" s="513"/>
      <c r="H1124" s="513"/>
      <c r="I1124" s="513"/>
      <c r="J1124" s="512" t="s">
        <v>1540</v>
      </c>
      <c r="K1124" s="512"/>
      <c r="L1124" s="512"/>
      <c r="M1124" s="512"/>
      <c r="N1124" s="512"/>
      <c r="O1124" s="512"/>
      <c r="P1124" s="512"/>
      <c r="Q1124" s="512"/>
      <c r="R1124" s="512"/>
      <c r="S1124" s="512"/>
      <c r="T1124" s="512"/>
      <c r="U1124" s="512"/>
      <c r="V1124" s="512"/>
      <c r="W1124" s="512"/>
      <c r="X1124" s="512"/>
      <c r="Y1124" s="507" t="s">
        <v>1548</v>
      </c>
      <c r="Z1124" s="507"/>
      <c r="AA1124" s="507"/>
      <c r="AB1124" s="507" t="s">
        <v>1489</v>
      </c>
      <c r="AC1124" s="507"/>
      <c r="AD1124" s="507"/>
      <c r="AE1124" s="507">
        <v>260</v>
      </c>
      <c r="AF1124" s="507"/>
      <c r="AG1124" s="507"/>
      <c r="AH1124" s="507">
        <v>6</v>
      </c>
      <c r="AI1124" s="507"/>
      <c r="AJ1124" s="507"/>
      <c r="AK1124" s="507" t="s">
        <v>1490</v>
      </c>
      <c r="AL1124" s="507"/>
      <c r="AM1124" s="507"/>
      <c r="AN1124" s="509">
        <f>VLOOKUP(E1124,'Выгрузка из 1С'!$B$4:$K$2000,10,FALSE)</f>
        <v>12810</v>
      </c>
      <c r="AO1124" s="509"/>
      <c r="AP1124" s="509"/>
      <c r="AQ1124" s="509"/>
      <c r="AR1124" s="509"/>
      <c r="AS1124" s="509"/>
      <c r="AT1124" s="25"/>
      <c r="AU1124" s="25"/>
      <c r="AV1124" s="25"/>
      <c r="AW1124" s="25"/>
      <c r="AX1124" s="25"/>
    </row>
    <row r="1125" spans="1:50" s="35" customFormat="1" ht="15" customHeight="1" x14ac:dyDescent="0.25">
      <c r="A1125" s="25"/>
      <c r="B1125" s="25"/>
      <c r="C1125" s="508">
        <v>32</v>
      </c>
      <c r="D1125" s="508"/>
      <c r="E1125" s="513" t="s">
        <v>1827</v>
      </c>
      <c r="F1125" s="513"/>
      <c r="G1125" s="513"/>
      <c r="H1125" s="513"/>
      <c r="I1125" s="513"/>
      <c r="J1125" s="512" t="s">
        <v>1541</v>
      </c>
      <c r="K1125" s="512"/>
      <c r="L1125" s="512"/>
      <c r="M1125" s="512"/>
      <c r="N1125" s="512"/>
      <c r="O1125" s="512"/>
      <c r="P1125" s="512"/>
      <c r="Q1125" s="512"/>
      <c r="R1125" s="512"/>
      <c r="S1125" s="512"/>
      <c r="T1125" s="512"/>
      <c r="U1125" s="512"/>
      <c r="V1125" s="512"/>
      <c r="W1125" s="512"/>
      <c r="X1125" s="512"/>
      <c r="Y1125" s="507" t="s">
        <v>1548</v>
      </c>
      <c r="Z1125" s="507"/>
      <c r="AA1125" s="507"/>
      <c r="AB1125" s="507" t="s">
        <v>1489</v>
      </c>
      <c r="AC1125" s="507"/>
      <c r="AD1125" s="507"/>
      <c r="AE1125" s="507">
        <v>260</v>
      </c>
      <c r="AF1125" s="507"/>
      <c r="AG1125" s="507"/>
      <c r="AH1125" s="507">
        <v>6</v>
      </c>
      <c r="AI1125" s="507"/>
      <c r="AJ1125" s="507"/>
      <c r="AK1125" s="507" t="s">
        <v>1490</v>
      </c>
      <c r="AL1125" s="507"/>
      <c r="AM1125" s="507"/>
      <c r="AN1125" s="509">
        <f>VLOOKUP(E1125,'Выгрузка из 1С'!$B$4:$K$2000,10,FALSE)</f>
        <v>15680</v>
      </c>
      <c r="AO1125" s="509"/>
      <c r="AP1125" s="509"/>
      <c r="AQ1125" s="509"/>
      <c r="AR1125" s="509"/>
      <c r="AS1125" s="509"/>
      <c r="AT1125" s="25"/>
      <c r="AU1125" s="25"/>
      <c r="AV1125" s="25"/>
      <c r="AW1125" s="25"/>
      <c r="AX1125" s="25"/>
    </row>
    <row r="1126" spans="1:50" s="35" customFormat="1" ht="15" customHeight="1" x14ac:dyDescent="0.25">
      <c r="A1126" s="25"/>
      <c r="B1126" s="25"/>
      <c r="C1126" s="508">
        <v>40</v>
      </c>
      <c r="D1126" s="508"/>
      <c r="E1126" s="513" t="s">
        <v>1826</v>
      </c>
      <c r="F1126" s="513"/>
      <c r="G1126" s="513"/>
      <c r="H1126" s="513"/>
      <c r="I1126" s="513"/>
      <c r="J1126" s="512" t="s">
        <v>1542</v>
      </c>
      <c r="K1126" s="512"/>
      <c r="L1126" s="512"/>
      <c r="M1126" s="512"/>
      <c r="N1126" s="512"/>
      <c r="O1126" s="512"/>
      <c r="P1126" s="512"/>
      <c r="Q1126" s="512"/>
      <c r="R1126" s="512"/>
      <c r="S1126" s="512"/>
      <c r="T1126" s="512"/>
      <c r="U1126" s="512"/>
      <c r="V1126" s="512"/>
      <c r="W1126" s="512"/>
      <c r="X1126" s="512"/>
      <c r="Y1126" s="507" t="s">
        <v>1548</v>
      </c>
      <c r="Z1126" s="507"/>
      <c r="AA1126" s="507"/>
      <c r="AB1126" s="507" t="s">
        <v>1488</v>
      </c>
      <c r="AC1126" s="507"/>
      <c r="AD1126" s="507"/>
      <c r="AE1126" s="507">
        <v>300</v>
      </c>
      <c r="AF1126" s="507"/>
      <c r="AG1126" s="507"/>
      <c r="AH1126" s="507">
        <v>10</v>
      </c>
      <c r="AI1126" s="507"/>
      <c r="AJ1126" s="507"/>
      <c r="AK1126" s="507" t="s">
        <v>1490</v>
      </c>
      <c r="AL1126" s="507"/>
      <c r="AM1126" s="507"/>
      <c r="AN1126" s="509">
        <f>VLOOKUP(E1126,'Выгрузка из 1С'!$B$4:$K$2000,10,FALSE)</f>
        <v>18830</v>
      </c>
      <c r="AO1126" s="509"/>
      <c r="AP1126" s="509"/>
      <c r="AQ1126" s="509"/>
      <c r="AR1126" s="509"/>
      <c r="AS1126" s="509"/>
      <c r="AT1126" s="25"/>
      <c r="AU1126" s="25"/>
      <c r="AV1126" s="25"/>
      <c r="AW1126" s="25"/>
      <c r="AX1126" s="25"/>
    </row>
    <row r="1127" spans="1:50" s="35" customFormat="1" ht="15" customHeight="1" x14ac:dyDescent="0.25">
      <c r="A1127" s="25"/>
      <c r="B1127" s="25"/>
      <c r="C1127" s="508">
        <v>40</v>
      </c>
      <c r="D1127" s="508"/>
      <c r="E1127" s="513" t="s">
        <v>1825</v>
      </c>
      <c r="F1127" s="513"/>
      <c r="G1127" s="513"/>
      <c r="H1127" s="513"/>
      <c r="I1127" s="513"/>
      <c r="J1127" s="512" t="s">
        <v>1543</v>
      </c>
      <c r="K1127" s="512"/>
      <c r="L1127" s="512"/>
      <c r="M1127" s="512"/>
      <c r="N1127" s="512"/>
      <c r="O1127" s="512"/>
      <c r="P1127" s="512"/>
      <c r="Q1127" s="512"/>
      <c r="R1127" s="512"/>
      <c r="S1127" s="512"/>
      <c r="T1127" s="512"/>
      <c r="U1127" s="512"/>
      <c r="V1127" s="512"/>
      <c r="W1127" s="512"/>
      <c r="X1127" s="512"/>
      <c r="Y1127" s="507" t="s">
        <v>1548</v>
      </c>
      <c r="Z1127" s="507"/>
      <c r="AA1127" s="507"/>
      <c r="AB1127" s="507" t="s">
        <v>1488</v>
      </c>
      <c r="AC1127" s="507"/>
      <c r="AD1127" s="507"/>
      <c r="AE1127" s="507">
        <v>300</v>
      </c>
      <c r="AF1127" s="507"/>
      <c r="AG1127" s="507"/>
      <c r="AH1127" s="507">
        <v>10</v>
      </c>
      <c r="AI1127" s="507"/>
      <c r="AJ1127" s="507"/>
      <c r="AK1127" s="507" t="s">
        <v>1490</v>
      </c>
      <c r="AL1127" s="507"/>
      <c r="AM1127" s="507"/>
      <c r="AN1127" s="509">
        <f>VLOOKUP(E1127,'Выгрузка из 1С'!$B$4:$K$2000,10,FALSE)</f>
        <v>20300</v>
      </c>
      <c r="AO1127" s="509"/>
      <c r="AP1127" s="509"/>
      <c r="AQ1127" s="509"/>
      <c r="AR1127" s="509"/>
      <c r="AS1127" s="509"/>
      <c r="AT1127" s="25"/>
      <c r="AU1127" s="25"/>
      <c r="AV1127" s="25"/>
      <c r="AW1127" s="25"/>
      <c r="AX1127" s="25"/>
    </row>
    <row r="1128" spans="1:50" s="35" customFormat="1" ht="15" customHeight="1" x14ac:dyDescent="0.25">
      <c r="A1128" s="25"/>
      <c r="B1128" s="25"/>
      <c r="C1128" s="508">
        <v>40</v>
      </c>
      <c r="D1128" s="508"/>
      <c r="E1128" s="513" t="s">
        <v>1884</v>
      </c>
      <c r="F1128" s="513"/>
      <c r="G1128" s="513"/>
      <c r="H1128" s="513"/>
      <c r="I1128" s="513"/>
      <c r="J1128" s="512" t="s">
        <v>1544</v>
      </c>
      <c r="K1128" s="512"/>
      <c r="L1128" s="512"/>
      <c r="M1128" s="512"/>
      <c r="N1128" s="512"/>
      <c r="O1128" s="512"/>
      <c r="P1128" s="512"/>
      <c r="Q1128" s="512"/>
      <c r="R1128" s="512"/>
      <c r="S1128" s="512"/>
      <c r="T1128" s="512"/>
      <c r="U1128" s="512"/>
      <c r="V1128" s="512"/>
      <c r="W1128" s="512"/>
      <c r="X1128" s="512"/>
      <c r="Y1128" s="507" t="s">
        <v>1548</v>
      </c>
      <c r="Z1128" s="507"/>
      <c r="AA1128" s="507"/>
      <c r="AB1128" s="507" t="s">
        <v>1488</v>
      </c>
      <c r="AC1128" s="507"/>
      <c r="AD1128" s="507"/>
      <c r="AE1128" s="507">
        <v>300</v>
      </c>
      <c r="AF1128" s="507"/>
      <c r="AG1128" s="507"/>
      <c r="AH1128" s="507">
        <v>10</v>
      </c>
      <c r="AI1128" s="507"/>
      <c r="AJ1128" s="507"/>
      <c r="AK1128" s="507" t="s">
        <v>1490</v>
      </c>
      <c r="AL1128" s="507"/>
      <c r="AM1128" s="507"/>
      <c r="AN1128" s="509">
        <f>VLOOKUP(E1128,'Выгрузка из 1С'!$B$4:$K$2000,10,FALSE)</f>
        <v>19320</v>
      </c>
      <c r="AO1128" s="509"/>
      <c r="AP1128" s="509"/>
      <c r="AQ1128" s="509"/>
      <c r="AR1128" s="509"/>
      <c r="AS1128" s="509"/>
      <c r="AT1128" s="25"/>
      <c r="AU1128" s="25"/>
      <c r="AV1128" s="25"/>
      <c r="AW1128" s="25"/>
      <c r="AX1128" s="25"/>
    </row>
    <row r="1129" spans="1:50" s="35" customFormat="1" ht="15" customHeight="1" x14ac:dyDescent="0.25">
      <c r="A1129" s="25"/>
      <c r="B1129" s="25"/>
      <c r="C1129" s="508">
        <v>40</v>
      </c>
      <c r="D1129" s="508"/>
      <c r="E1129" s="513" t="s">
        <v>1883</v>
      </c>
      <c r="F1129" s="513"/>
      <c r="G1129" s="513"/>
      <c r="H1129" s="513"/>
      <c r="I1129" s="513"/>
      <c r="J1129" s="512" t="s">
        <v>1545</v>
      </c>
      <c r="K1129" s="512"/>
      <c r="L1129" s="512"/>
      <c r="M1129" s="512"/>
      <c r="N1129" s="512"/>
      <c r="O1129" s="512"/>
      <c r="P1129" s="512"/>
      <c r="Q1129" s="512"/>
      <c r="R1129" s="512"/>
      <c r="S1129" s="512"/>
      <c r="T1129" s="512"/>
      <c r="U1129" s="512"/>
      <c r="V1129" s="512"/>
      <c r="W1129" s="512"/>
      <c r="X1129" s="512"/>
      <c r="Y1129" s="507" t="s">
        <v>1548</v>
      </c>
      <c r="Z1129" s="507"/>
      <c r="AA1129" s="507"/>
      <c r="AB1129" s="507" t="s">
        <v>1488</v>
      </c>
      <c r="AC1129" s="507"/>
      <c r="AD1129" s="507"/>
      <c r="AE1129" s="507">
        <v>300</v>
      </c>
      <c r="AF1129" s="507"/>
      <c r="AG1129" s="507"/>
      <c r="AH1129" s="507">
        <v>10</v>
      </c>
      <c r="AI1129" s="507"/>
      <c r="AJ1129" s="507"/>
      <c r="AK1129" s="507" t="s">
        <v>1490</v>
      </c>
      <c r="AL1129" s="507"/>
      <c r="AM1129" s="507"/>
      <c r="AN1129" s="509">
        <f>VLOOKUP(E1129,'Выгрузка из 1С'!$B$4:$K$2000,10,FALSE)</f>
        <v>20790</v>
      </c>
      <c r="AO1129" s="509"/>
      <c r="AP1129" s="509"/>
      <c r="AQ1129" s="509"/>
      <c r="AR1129" s="509"/>
      <c r="AS1129" s="509"/>
      <c r="AT1129" s="25"/>
      <c r="AU1129" s="25"/>
      <c r="AV1129" s="25"/>
      <c r="AW1129" s="25"/>
      <c r="AX1129" s="25"/>
    </row>
    <row r="1130" spans="1:50" s="35" customFormat="1" ht="15" customHeight="1" x14ac:dyDescent="0.25">
      <c r="A1130" s="25"/>
      <c r="B1130" s="25"/>
      <c r="C1130" s="508">
        <v>40</v>
      </c>
      <c r="D1130" s="508"/>
      <c r="E1130" s="513" t="s">
        <v>1882</v>
      </c>
      <c r="F1130" s="513"/>
      <c r="G1130" s="513"/>
      <c r="H1130" s="513"/>
      <c r="I1130" s="513"/>
      <c r="J1130" s="512" t="s">
        <v>1546</v>
      </c>
      <c r="K1130" s="512"/>
      <c r="L1130" s="512"/>
      <c r="M1130" s="512"/>
      <c r="N1130" s="512"/>
      <c r="O1130" s="512"/>
      <c r="P1130" s="512"/>
      <c r="Q1130" s="512"/>
      <c r="R1130" s="512"/>
      <c r="S1130" s="512"/>
      <c r="T1130" s="512"/>
      <c r="U1130" s="512"/>
      <c r="V1130" s="512"/>
      <c r="W1130" s="512"/>
      <c r="X1130" s="512"/>
      <c r="Y1130" s="507" t="s">
        <v>1548</v>
      </c>
      <c r="Z1130" s="507"/>
      <c r="AA1130" s="507"/>
      <c r="AB1130" s="507" t="s">
        <v>1489</v>
      </c>
      <c r="AC1130" s="507"/>
      <c r="AD1130" s="507"/>
      <c r="AE1130" s="507">
        <v>300</v>
      </c>
      <c r="AF1130" s="507"/>
      <c r="AG1130" s="507"/>
      <c r="AH1130" s="507">
        <v>10</v>
      </c>
      <c r="AI1130" s="507"/>
      <c r="AJ1130" s="507"/>
      <c r="AK1130" s="507" t="s">
        <v>1490</v>
      </c>
      <c r="AL1130" s="507"/>
      <c r="AM1130" s="507"/>
      <c r="AN1130" s="509">
        <f>VLOOKUP(E1130,'Выгрузка из 1С'!$B$4:$K$2000,10,FALSE)</f>
        <v>20650</v>
      </c>
      <c r="AO1130" s="509"/>
      <c r="AP1130" s="509"/>
      <c r="AQ1130" s="509"/>
      <c r="AR1130" s="509"/>
      <c r="AS1130" s="509"/>
      <c r="AT1130" s="25"/>
      <c r="AU1130" s="25"/>
      <c r="AV1130" s="25"/>
      <c r="AW1130" s="25"/>
      <c r="AX1130" s="25"/>
    </row>
    <row r="1131" spans="1:50" s="35" customFormat="1" ht="15" customHeight="1" x14ac:dyDescent="0.25">
      <c r="A1131" s="25"/>
      <c r="B1131" s="25"/>
      <c r="C1131" s="508">
        <v>40</v>
      </c>
      <c r="D1131" s="508"/>
      <c r="E1131" s="513" t="s">
        <v>1824</v>
      </c>
      <c r="F1131" s="513"/>
      <c r="G1131" s="513"/>
      <c r="H1131" s="513"/>
      <c r="I1131" s="513"/>
      <c r="J1131" s="512" t="s">
        <v>1547</v>
      </c>
      <c r="K1131" s="512"/>
      <c r="L1131" s="512"/>
      <c r="M1131" s="512"/>
      <c r="N1131" s="512"/>
      <c r="O1131" s="512"/>
      <c r="P1131" s="512"/>
      <c r="Q1131" s="512"/>
      <c r="R1131" s="512"/>
      <c r="S1131" s="512"/>
      <c r="T1131" s="512"/>
      <c r="U1131" s="512"/>
      <c r="V1131" s="512"/>
      <c r="W1131" s="512"/>
      <c r="X1131" s="512"/>
      <c r="Y1131" s="507" t="s">
        <v>1548</v>
      </c>
      <c r="Z1131" s="507"/>
      <c r="AA1131" s="507"/>
      <c r="AB1131" s="507" t="s">
        <v>1489</v>
      </c>
      <c r="AC1131" s="507"/>
      <c r="AD1131" s="507"/>
      <c r="AE1131" s="507">
        <v>300</v>
      </c>
      <c r="AF1131" s="507"/>
      <c r="AG1131" s="507"/>
      <c r="AH1131" s="507">
        <v>10</v>
      </c>
      <c r="AI1131" s="507"/>
      <c r="AJ1131" s="507"/>
      <c r="AK1131" s="507" t="s">
        <v>1490</v>
      </c>
      <c r="AL1131" s="507"/>
      <c r="AM1131" s="507"/>
      <c r="AN1131" s="509">
        <f>VLOOKUP(E1131,'Выгрузка из 1С'!$B$4:$K$2000,10,FALSE)</f>
        <v>23520</v>
      </c>
      <c r="AO1131" s="509"/>
      <c r="AP1131" s="509"/>
      <c r="AQ1131" s="509"/>
      <c r="AR1131" s="509"/>
      <c r="AS1131" s="509"/>
      <c r="AT1131" s="25"/>
      <c r="AU1131" s="25"/>
      <c r="AV1131" s="25"/>
      <c r="AW1131" s="25"/>
      <c r="AX1131" s="25"/>
    </row>
    <row r="1132" spans="1:50" s="35" customFormat="1" ht="15" customHeight="1" x14ac:dyDescent="0.2">
      <c r="A1132" s="25"/>
      <c r="B1132" s="25"/>
      <c r="C1132" s="511" t="s">
        <v>1915</v>
      </c>
      <c r="D1132" s="511"/>
      <c r="E1132" s="511"/>
      <c r="F1132" s="511"/>
      <c r="G1132" s="511"/>
      <c r="H1132" s="511"/>
      <c r="I1132" s="511"/>
      <c r="J1132" s="511"/>
      <c r="K1132" s="511"/>
      <c r="L1132" s="511"/>
      <c r="M1132" s="511"/>
      <c r="N1132" s="511"/>
      <c r="O1132" s="511"/>
      <c r="P1132" s="511"/>
      <c r="Q1132" s="511"/>
      <c r="R1132" s="511"/>
      <c r="S1132" s="511"/>
      <c r="T1132" s="511"/>
      <c r="U1132" s="511"/>
      <c r="V1132" s="511"/>
      <c r="W1132" s="511"/>
      <c r="X1132" s="511"/>
      <c r="Y1132" s="511"/>
      <c r="Z1132" s="511"/>
      <c r="AA1132" s="511"/>
      <c r="AB1132" s="511"/>
      <c r="AC1132" s="511"/>
      <c r="AD1132" s="511"/>
      <c r="AE1132" s="511"/>
      <c r="AF1132" s="511"/>
      <c r="AG1132" s="511"/>
      <c r="AH1132" s="511"/>
      <c r="AI1132" s="511"/>
      <c r="AJ1132" s="511"/>
      <c r="AK1132" s="511"/>
      <c r="AL1132" s="511"/>
      <c r="AM1132" s="511"/>
      <c r="AN1132" s="511"/>
      <c r="AO1132" s="511"/>
      <c r="AP1132" s="511"/>
      <c r="AQ1132" s="511"/>
      <c r="AR1132" s="511"/>
      <c r="AS1132" s="511"/>
      <c r="AT1132" s="25"/>
      <c r="AU1132" s="25"/>
      <c r="AV1132" s="25"/>
      <c r="AW1132" s="25"/>
      <c r="AX1132" s="25"/>
    </row>
    <row r="1133" spans="1:50" s="35" customFormat="1" ht="15" customHeight="1" x14ac:dyDescent="0.25">
      <c r="A1133" s="25"/>
      <c r="B1133" s="25"/>
      <c r="C1133" s="508">
        <v>25</v>
      </c>
      <c r="D1133" s="508"/>
      <c r="E1133" s="513" t="s">
        <v>1823</v>
      </c>
      <c r="F1133" s="513"/>
      <c r="G1133" s="513"/>
      <c r="H1133" s="513"/>
      <c r="I1133" s="513"/>
      <c r="J1133" s="512" t="s">
        <v>1549</v>
      </c>
      <c r="K1133" s="512"/>
      <c r="L1133" s="512"/>
      <c r="M1133" s="512"/>
      <c r="N1133" s="512"/>
      <c r="O1133" s="512"/>
      <c r="P1133" s="512"/>
      <c r="Q1133" s="512"/>
      <c r="R1133" s="512"/>
      <c r="S1133" s="512"/>
      <c r="T1133" s="512"/>
      <c r="U1133" s="512"/>
      <c r="V1133" s="512"/>
      <c r="W1133" s="512"/>
      <c r="X1133" s="512"/>
      <c r="Y1133" s="507" t="s">
        <v>1548</v>
      </c>
      <c r="Z1133" s="507"/>
      <c r="AA1133" s="507"/>
      <c r="AB1133" s="507" t="s">
        <v>1488</v>
      </c>
      <c r="AC1133" s="507"/>
      <c r="AD1133" s="507"/>
      <c r="AE1133" s="507">
        <v>260</v>
      </c>
      <c r="AF1133" s="507"/>
      <c r="AG1133" s="507"/>
      <c r="AH1133" s="507">
        <v>3.5</v>
      </c>
      <c r="AI1133" s="507"/>
      <c r="AJ1133" s="507"/>
      <c r="AK1133" s="507" t="s">
        <v>1555</v>
      </c>
      <c r="AL1133" s="507"/>
      <c r="AM1133" s="507"/>
      <c r="AN1133" s="509">
        <f>VLOOKUP(E1133,'Выгрузка из 1С'!$B$4:$K$2000,10,FALSE)</f>
        <v>10290</v>
      </c>
      <c r="AO1133" s="509"/>
      <c r="AP1133" s="509"/>
      <c r="AQ1133" s="509"/>
      <c r="AR1133" s="509"/>
      <c r="AS1133" s="509"/>
      <c r="AT1133" s="25"/>
      <c r="AU1133" s="25"/>
      <c r="AV1133" s="25"/>
      <c r="AW1133" s="25"/>
      <c r="AX1133" s="25"/>
    </row>
    <row r="1134" spans="1:50" s="35" customFormat="1" ht="15" customHeight="1" x14ac:dyDescent="0.25">
      <c r="A1134" s="25"/>
      <c r="B1134" s="25"/>
      <c r="C1134" s="508">
        <v>25</v>
      </c>
      <c r="D1134" s="508"/>
      <c r="E1134" s="513" t="s">
        <v>1891</v>
      </c>
      <c r="F1134" s="513"/>
      <c r="G1134" s="513"/>
      <c r="H1134" s="513"/>
      <c r="I1134" s="513"/>
      <c r="J1134" s="512" t="s">
        <v>1904</v>
      </c>
      <c r="K1134" s="512"/>
      <c r="L1134" s="512"/>
      <c r="M1134" s="512"/>
      <c r="N1134" s="512"/>
      <c r="O1134" s="512"/>
      <c r="P1134" s="512"/>
      <c r="Q1134" s="512"/>
      <c r="R1134" s="512"/>
      <c r="S1134" s="512"/>
      <c r="T1134" s="512"/>
      <c r="U1134" s="512"/>
      <c r="V1134" s="512"/>
      <c r="W1134" s="512"/>
      <c r="X1134" s="512"/>
      <c r="Y1134" s="507" t="s">
        <v>1548</v>
      </c>
      <c r="Z1134" s="507"/>
      <c r="AA1134" s="507"/>
      <c r="AB1134" s="507" t="s">
        <v>1488</v>
      </c>
      <c r="AC1134" s="507"/>
      <c r="AD1134" s="507"/>
      <c r="AE1134" s="507">
        <v>260</v>
      </c>
      <c r="AF1134" s="507"/>
      <c r="AG1134" s="507"/>
      <c r="AH1134" s="507">
        <v>3.5</v>
      </c>
      <c r="AI1134" s="507"/>
      <c r="AJ1134" s="507"/>
      <c r="AK1134" s="507" t="s">
        <v>1555</v>
      </c>
      <c r="AL1134" s="507"/>
      <c r="AM1134" s="507"/>
      <c r="AN1134" s="509">
        <f>VLOOKUP(E1134,'Выгрузка из 1С'!$B$4:$K$2000,10,FALSE)</f>
        <v>8250</v>
      </c>
      <c r="AO1134" s="509"/>
      <c r="AP1134" s="509"/>
      <c r="AQ1134" s="509"/>
      <c r="AR1134" s="509"/>
      <c r="AS1134" s="509"/>
      <c r="AT1134" s="25"/>
      <c r="AU1134" s="25"/>
      <c r="AV1134" s="25"/>
      <c r="AW1134" s="25"/>
      <c r="AX1134" s="25"/>
    </row>
    <row r="1135" spans="1:50" s="35" customFormat="1" ht="15" customHeight="1" x14ac:dyDescent="0.25">
      <c r="A1135" s="25"/>
      <c r="B1135" s="25"/>
      <c r="C1135" s="508">
        <v>25</v>
      </c>
      <c r="D1135" s="508"/>
      <c r="E1135" s="513" t="s">
        <v>1890</v>
      </c>
      <c r="F1135" s="513"/>
      <c r="G1135" s="513"/>
      <c r="H1135" s="513"/>
      <c r="I1135" s="513"/>
      <c r="J1135" s="512" t="s">
        <v>1550</v>
      </c>
      <c r="K1135" s="512"/>
      <c r="L1135" s="512"/>
      <c r="M1135" s="512"/>
      <c r="N1135" s="512"/>
      <c r="O1135" s="512"/>
      <c r="P1135" s="512"/>
      <c r="Q1135" s="512"/>
      <c r="R1135" s="512"/>
      <c r="S1135" s="512"/>
      <c r="T1135" s="512"/>
      <c r="U1135" s="512"/>
      <c r="V1135" s="512"/>
      <c r="W1135" s="512"/>
      <c r="X1135" s="512"/>
      <c r="Y1135" s="507" t="s">
        <v>1548</v>
      </c>
      <c r="Z1135" s="507"/>
      <c r="AA1135" s="507"/>
      <c r="AB1135" s="507" t="s">
        <v>1488</v>
      </c>
      <c r="AC1135" s="507"/>
      <c r="AD1135" s="507"/>
      <c r="AE1135" s="507">
        <v>260</v>
      </c>
      <c r="AF1135" s="507"/>
      <c r="AG1135" s="507"/>
      <c r="AH1135" s="507">
        <v>3.5</v>
      </c>
      <c r="AI1135" s="507"/>
      <c r="AJ1135" s="507"/>
      <c r="AK1135" s="507" t="s">
        <v>1555</v>
      </c>
      <c r="AL1135" s="507"/>
      <c r="AM1135" s="507"/>
      <c r="AN1135" s="509">
        <f>VLOOKUP(E1135,'Выгрузка из 1С'!$B$4:$K$2000,10,FALSE)</f>
        <v>11200</v>
      </c>
      <c r="AO1135" s="509"/>
      <c r="AP1135" s="509"/>
      <c r="AQ1135" s="509"/>
      <c r="AR1135" s="509"/>
      <c r="AS1135" s="509"/>
      <c r="AT1135" s="25"/>
      <c r="AU1135" s="25"/>
      <c r="AV1135" s="25"/>
      <c r="AW1135" s="25"/>
      <c r="AX1135" s="25"/>
    </row>
    <row r="1136" spans="1:50" s="35" customFormat="1" ht="15" customHeight="1" x14ac:dyDescent="0.25">
      <c r="A1136" s="25"/>
      <c r="B1136" s="25"/>
      <c r="C1136" s="508">
        <v>32</v>
      </c>
      <c r="D1136" s="508"/>
      <c r="E1136" s="513" t="s">
        <v>1822</v>
      </c>
      <c r="F1136" s="513"/>
      <c r="G1136" s="513"/>
      <c r="H1136" s="513"/>
      <c r="I1136" s="513"/>
      <c r="J1136" s="512" t="s">
        <v>1551</v>
      </c>
      <c r="K1136" s="512"/>
      <c r="L1136" s="512"/>
      <c r="M1136" s="512"/>
      <c r="N1136" s="512"/>
      <c r="O1136" s="512"/>
      <c r="P1136" s="512"/>
      <c r="Q1136" s="512"/>
      <c r="R1136" s="512"/>
      <c r="S1136" s="512"/>
      <c r="T1136" s="512"/>
      <c r="U1136" s="512"/>
      <c r="V1136" s="512"/>
      <c r="W1136" s="512"/>
      <c r="X1136" s="512"/>
      <c r="Y1136" s="507" t="s">
        <v>1548</v>
      </c>
      <c r="Z1136" s="507"/>
      <c r="AA1136" s="507"/>
      <c r="AB1136" s="507" t="s">
        <v>1488</v>
      </c>
      <c r="AC1136" s="507"/>
      <c r="AD1136" s="507"/>
      <c r="AE1136" s="507">
        <v>260</v>
      </c>
      <c r="AF1136" s="507"/>
      <c r="AG1136" s="507"/>
      <c r="AH1136" s="507">
        <v>6</v>
      </c>
      <c r="AI1136" s="507"/>
      <c r="AJ1136" s="507"/>
      <c r="AK1136" s="507" t="s">
        <v>1555</v>
      </c>
      <c r="AL1136" s="507"/>
      <c r="AM1136" s="507"/>
      <c r="AN1136" s="509">
        <f>VLOOKUP(E1136,'Выгрузка из 1С'!$B$4:$K$2000,10,FALSE)</f>
        <v>12180</v>
      </c>
      <c r="AO1136" s="509"/>
      <c r="AP1136" s="509"/>
      <c r="AQ1136" s="509"/>
      <c r="AR1136" s="509"/>
      <c r="AS1136" s="509"/>
      <c r="AT1136" s="25"/>
      <c r="AU1136" s="25"/>
      <c r="AV1136" s="25"/>
      <c r="AW1136" s="25"/>
      <c r="AX1136" s="25"/>
    </row>
    <row r="1137" spans="1:50" s="35" customFormat="1" ht="15" customHeight="1" x14ac:dyDescent="0.25">
      <c r="A1137" s="25"/>
      <c r="B1137" s="25"/>
      <c r="C1137" s="508">
        <v>32</v>
      </c>
      <c r="D1137" s="508"/>
      <c r="E1137" s="513" t="s">
        <v>1886</v>
      </c>
      <c r="F1137" s="513"/>
      <c r="G1137" s="513"/>
      <c r="H1137" s="513"/>
      <c r="I1137" s="513"/>
      <c r="J1137" s="512" t="s">
        <v>1903</v>
      </c>
      <c r="K1137" s="512"/>
      <c r="L1137" s="512"/>
      <c r="M1137" s="512"/>
      <c r="N1137" s="512"/>
      <c r="O1137" s="512"/>
      <c r="P1137" s="512"/>
      <c r="Q1137" s="512"/>
      <c r="R1137" s="512"/>
      <c r="S1137" s="512"/>
      <c r="T1137" s="512"/>
      <c r="U1137" s="512"/>
      <c r="V1137" s="512"/>
      <c r="W1137" s="512"/>
      <c r="X1137" s="512"/>
      <c r="Y1137" s="507" t="s">
        <v>1548</v>
      </c>
      <c r="Z1137" s="507"/>
      <c r="AA1137" s="507"/>
      <c r="AB1137" s="507" t="s">
        <v>1488</v>
      </c>
      <c r="AC1137" s="507"/>
      <c r="AD1137" s="507"/>
      <c r="AE1137" s="507">
        <v>260</v>
      </c>
      <c r="AF1137" s="507"/>
      <c r="AG1137" s="507"/>
      <c r="AH1137" s="507">
        <v>6</v>
      </c>
      <c r="AI1137" s="507"/>
      <c r="AJ1137" s="507"/>
      <c r="AK1137" s="507" t="s">
        <v>1555</v>
      </c>
      <c r="AL1137" s="507"/>
      <c r="AM1137" s="507"/>
      <c r="AN1137" s="509">
        <f>VLOOKUP(E1137,'Выгрузка из 1С'!$B$4:$K$2000,10,FALSE)</f>
        <v>9750</v>
      </c>
      <c r="AO1137" s="509"/>
      <c r="AP1137" s="509"/>
      <c r="AQ1137" s="509"/>
      <c r="AR1137" s="509"/>
      <c r="AS1137" s="509"/>
      <c r="AT1137" s="25"/>
      <c r="AU1137" s="25"/>
      <c r="AV1137" s="25"/>
      <c r="AW1137" s="25"/>
      <c r="AX1137" s="25"/>
    </row>
    <row r="1138" spans="1:50" s="35" customFormat="1" ht="15" customHeight="1" x14ac:dyDescent="0.25">
      <c r="A1138" s="25"/>
      <c r="B1138" s="25"/>
      <c r="C1138" s="508">
        <v>32</v>
      </c>
      <c r="D1138" s="508"/>
      <c r="E1138" s="513" t="s">
        <v>1885</v>
      </c>
      <c r="F1138" s="513"/>
      <c r="G1138" s="513"/>
      <c r="H1138" s="513"/>
      <c r="I1138" s="513"/>
      <c r="J1138" s="512" t="s">
        <v>1552</v>
      </c>
      <c r="K1138" s="512"/>
      <c r="L1138" s="512"/>
      <c r="M1138" s="512"/>
      <c r="N1138" s="512"/>
      <c r="O1138" s="512"/>
      <c r="P1138" s="512"/>
      <c r="Q1138" s="512"/>
      <c r="R1138" s="512"/>
      <c r="S1138" s="512"/>
      <c r="T1138" s="512"/>
      <c r="U1138" s="512"/>
      <c r="V1138" s="512"/>
      <c r="W1138" s="512"/>
      <c r="X1138" s="512"/>
      <c r="Y1138" s="507" t="s">
        <v>1548</v>
      </c>
      <c r="Z1138" s="507"/>
      <c r="AA1138" s="507"/>
      <c r="AB1138" s="507" t="s">
        <v>1488</v>
      </c>
      <c r="AC1138" s="507"/>
      <c r="AD1138" s="507"/>
      <c r="AE1138" s="507">
        <v>260</v>
      </c>
      <c r="AF1138" s="507"/>
      <c r="AG1138" s="507"/>
      <c r="AH1138" s="507">
        <v>6</v>
      </c>
      <c r="AI1138" s="507"/>
      <c r="AJ1138" s="507"/>
      <c r="AK1138" s="507" t="s">
        <v>1555</v>
      </c>
      <c r="AL1138" s="507"/>
      <c r="AM1138" s="507"/>
      <c r="AN1138" s="509">
        <f>VLOOKUP(E1138,'Выгрузка из 1С'!$B$4:$K$2000,10,FALSE)</f>
        <v>13090</v>
      </c>
      <c r="AO1138" s="509"/>
      <c r="AP1138" s="509"/>
      <c r="AQ1138" s="509"/>
      <c r="AR1138" s="509"/>
      <c r="AS1138" s="509"/>
      <c r="AT1138" s="25"/>
      <c r="AU1138" s="25"/>
      <c r="AV1138" s="25"/>
      <c r="AW1138" s="25"/>
      <c r="AX1138" s="25"/>
    </row>
    <row r="1139" spans="1:50" s="35" customFormat="1" ht="15" customHeight="1" x14ac:dyDescent="0.25">
      <c r="A1139" s="25"/>
      <c r="B1139" s="25"/>
      <c r="C1139" s="508">
        <v>40</v>
      </c>
      <c r="D1139" s="508"/>
      <c r="E1139" s="513" t="s">
        <v>1821</v>
      </c>
      <c r="F1139" s="513"/>
      <c r="G1139" s="513"/>
      <c r="H1139" s="513"/>
      <c r="I1139" s="513"/>
      <c r="J1139" s="512" t="s">
        <v>1553</v>
      </c>
      <c r="K1139" s="512"/>
      <c r="L1139" s="512"/>
      <c r="M1139" s="512"/>
      <c r="N1139" s="512"/>
      <c r="O1139" s="512"/>
      <c r="P1139" s="512"/>
      <c r="Q1139" s="512"/>
      <c r="R1139" s="512"/>
      <c r="S1139" s="512"/>
      <c r="T1139" s="512"/>
      <c r="U1139" s="512"/>
      <c r="V1139" s="512"/>
      <c r="W1139" s="512"/>
      <c r="X1139" s="512"/>
      <c r="Y1139" s="507" t="s">
        <v>1548</v>
      </c>
      <c r="Z1139" s="507"/>
      <c r="AA1139" s="507"/>
      <c r="AB1139" s="507" t="s">
        <v>1488</v>
      </c>
      <c r="AC1139" s="507"/>
      <c r="AD1139" s="507"/>
      <c r="AE1139" s="507">
        <v>300</v>
      </c>
      <c r="AF1139" s="507"/>
      <c r="AG1139" s="507"/>
      <c r="AH1139" s="507">
        <v>10</v>
      </c>
      <c r="AI1139" s="507"/>
      <c r="AJ1139" s="507"/>
      <c r="AK1139" s="507" t="s">
        <v>1555</v>
      </c>
      <c r="AL1139" s="507"/>
      <c r="AM1139" s="507"/>
      <c r="AN1139" s="509">
        <f>VLOOKUP(E1139,'Выгрузка из 1С'!$B$4:$K$2000,10,FALSE)</f>
        <v>20230</v>
      </c>
      <c r="AO1139" s="509"/>
      <c r="AP1139" s="509"/>
      <c r="AQ1139" s="509"/>
      <c r="AR1139" s="509"/>
      <c r="AS1139" s="509"/>
      <c r="AT1139" s="25"/>
      <c r="AU1139" s="25"/>
      <c r="AV1139" s="25"/>
      <c r="AW1139" s="25"/>
      <c r="AX1139" s="25"/>
    </row>
    <row r="1140" spans="1:50" s="35" customFormat="1" ht="15" customHeight="1" x14ac:dyDescent="0.25">
      <c r="A1140" s="25"/>
      <c r="B1140" s="25"/>
      <c r="C1140" s="508">
        <v>40</v>
      </c>
      <c r="D1140" s="508"/>
      <c r="E1140" s="513" t="s">
        <v>1881</v>
      </c>
      <c r="F1140" s="513"/>
      <c r="G1140" s="513"/>
      <c r="H1140" s="513"/>
      <c r="I1140" s="513"/>
      <c r="J1140" s="512" t="s">
        <v>1902</v>
      </c>
      <c r="K1140" s="512"/>
      <c r="L1140" s="512"/>
      <c r="M1140" s="512"/>
      <c r="N1140" s="512"/>
      <c r="O1140" s="512"/>
      <c r="P1140" s="512"/>
      <c r="Q1140" s="512"/>
      <c r="R1140" s="512"/>
      <c r="S1140" s="512"/>
      <c r="T1140" s="512"/>
      <c r="U1140" s="512"/>
      <c r="V1140" s="512"/>
      <c r="W1140" s="512"/>
      <c r="X1140" s="512"/>
      <c r="Y1140" s="507" t="s">
        <v>1548</v>
      </c>
      <c r="Z1140" s="507"/>
      <c r="AA1140" s="507"/>
      <c r="AB1140" s="507" t="s">
        <v>1488</v>
      </c>
      <c r="AC1140" s="507"/>
      <c r="AD1140" s="507"/>
      <c r="AE1140" s="507">
        <v>300</v>
      </c>
      <c r="AF1140" s="507"/>
      <c r="AG1140" s="507"/>
      <c r="AH1140" s="507">
        <v>10</v>
      </c>
      <c r="AI1140" s="507"/>
      <c r="AJ1140" s="507"/>
      <c r="AK1140" s="507" t="s">
        <v>1555</v>
      </c>
      <c r="AL1140" s="507"/>
      <c r="AM1140" s="507"/>
      <c r="AN1140" s="509">
        <f>VLOOKUP(E1140,'Выгрузка из 1С'!$B$4:$K$2000,10,FALSE)</f>
        <v>15345</v>
      </c>
      <c r="AO1140" s="509"/>
      <c r="AP1140" s="509"/>
      <c r="AQ1140" s="509"/>
      <c r="AR1140" s="509"/>
      <c r="AS1140" s="509"/>
      <c r="AT1140" s="25"/>
      <c r="AU1140" s="25"/>
      <c r="AV1140" s="25"/>
      <c r="AW1140" s="25"/>
      <c r="AX1140" s="25"/>
    </row>
    <row r="1141" spans="1:50" s="35" customFormat="1" ht="15" customHeight="1" x14ac:dyDescent="0.25">
      <c r="A1141" s="25"/>
      <c r="B1141" s="25"/>
      <c r="C1141" s="508">
        <v>40</v>
      </c>
      <c r="D1141" s="508"/>
      <c r="E1141" s="513" t="s">
        <v>1880</v>
      </c>
      <c r="F1141" s="513"/>
      <c r="G1141" s="513"/>
      <c r="H1141" s="513"/>
      <c r="I1141" s="513"/>
      <c r="J1141" s="512" t="s">
        <v>1554</v>
      </c>
      <c r="K1141" s="512"/>
      <c r="L1141" s="512"/>
      <c r="M1141" s="512"/>
      <c r="N1141" s="512"/>
      <c r="O1141" s="512"/>
      <c r="P1141" s="512"/>
      <c r="Q1141" s="512"/>
      <c r="R1141" s="512"/>
      <c r="S1141" s="512"/>
      <c r="T1141" s="512"/>
      <c r="U1141" s="512"/>
      <c r="V1141" s="512"/>
      <c r="W1141" s="512"/>
      <c r="X1141" s="512"/>
      <c r="Y1141" s="507" t="s">
        <v>1548</v>
      </c>
      <c r="Z1141" s="507"/>
      <c r="AA1141" s="507"/>
      <c r="AB1141" s="507" t="s">
        <v>1488</v>
      </c>
      <c r="AC1141" s="507"/>
      <c r="AD1141" s="507"/>
      <c r="AE1141" s="507">
        <v>300</v>
      </c>
      <c r="AF1141" s="507"/>
      <c r="AG1141" s="507"/>
      <c r="AH1141" s="507">
        <v>10</v>
      </c>
      <c r="AI1141" s="507"/>
      <c r="AJ1141" s="507"/>
      <c r="AK1141" s="507" t="s">
        <v>1555</v>
      </c>
      <c r="AL1141" s="507"/>
      <c r="AM1141" s="507"/>
      <c r="AN1141" s="509">
        <f>VLOOKUP(E1141,'Выгрузка из 1С'!$B$4:$K$2000,10,FALSE)</f>
        <v>20860</v>
      </c>
      <c r="AO1141" s="509"/>
      <c r="AP1141" s="509"/>
      <c r="AQ1141" s="509"/>
      <c r="AR1141" s="509"/>
      <c r="AS1141" s="509"/>
      <c r="AT1141" s="25"/>
      <c r="AU1141" s="25"/>
      <c r="AV1141" s="25"/>
      <c r="AW1141" s="25"/>
      <c r="AX1141" s="25"/>
    </row>
    <row r="1142" spans="1:50" s="35" customFormat="1" ht="15" customHeight="1" x14ac:dyDescent="0.2">
      <c r="A1142" s="25"/>
      <c r="B1142" s="25"/>
      <c r="C1142" s="736" t="s">
        <v>1911</v>
      </c>
      <c r="D1142" s="736"/>
      <c r="E1142" s="736"/>
      <c r="F1142" s="736"/>
      <c r="G1142" s="736"/>
      <c r="H1142" s="736"/>
      <c r="I1142" s="736"/>
      <c r="J1142" s="736"/>
      <c r="K1142" s="736"/>
      <c r="L1142" s="736"/>
      <c r="M1142" s="736"/>
      <c r="N1142" s="736"/>
      <c r="O1142" s="736"/>
      <c r="P1142" s="736"/>
      <c r="Q1142" s="736"/>
      <c r="R1142" s="736"/>
      <c r="S1142" s="736"/>
      <c r="T1142" s="736"/>
      <c r="U1142" s="736"/>
      <c r="V1142" s="736"/>
      <c r="W1142" s="736"/>
      <c r="X1142" s="736"/>
      <c r="Y1142" s="736"/>
      <c r="Z1142" s="736"/>
      <c r="AA1142" s="736"/>
      <c r="AB1142" s="736"/>
      <c r="AC1142" s="736"/>
      <c r="AD1142" s="736"/>
      <c r="AE1142" s="736"/>
      <c r="AF1142" s="736"/>
      <c r="AG1142" s="736"/>
      <c r="AH1142" s="736"/>
      <c r="AI1142" s="736"/>
      <c r="AJ1142" s="736"/>
      <c r="AK1142" s="736"/>
      <c r="AL1142" s="736"/>
      <c r="AM1142" s="736"/>
      <c r="AN1142" s="736"/>
      <c r="AO1142" s="736"/>
      <c r="AP1142" s="736"/>
      <c r="AQ1142" s="736"/>
      <c r="AR1142" s="736"/>
      <c r="AS1142" s="736"/>
      <c r="AT1142" s="25"/>
      <c r="AU1142" s="25"/>
      <c r="AV1142" s="25"/>
      <c r="AW1142" s="25"/>
      <c r="AX1142" s="25"/>
    </row>
    <row r="1143" spans="1:50" s="35" customFormat="1" ht="15" customHeight="1" x14ac:dyDescent="0.25">
      <c r="A1143" s="25"/>
      <c r="B1143" s="25"/>
      <c r="C1143" s="507" t="s">
        <v>306</v>
      </c>
      <c r="D1143" s="507"/>
      <c r="E1143" s="737" t="s">
        <v>1906</v>
      </c>
      <c r="F1143" s="737"/>
      <c r="G1143" s="737"/>
      <c r="H1143" s="737"/>
      <c r="I1143" s="737"/>
      <c r="J1143" s="515" t="s">
        <v>1910</v>
      </c>
      <c r="K1143" s="515"/>
      <c r="L1143" s="515"/>
      <c r="M1143" s="515"/>
      <c r="N1143" s="515"/>
      <c r="O1143" s="515"/>
      <c r="P1143" s="515"/>
      <c r="Q1143" s="515"/>
      <c r="R1143" s="515"/>
      <c r="S1143" s="515"/>
      <c r="T1143" s="515"/>
      <c r="U1143" s="515"/>
      <c r="V1143" s="515"/>
      <c r="W1143" s="515"/>
      <c r="X1143" s="515"/>
      <c r="Y1143" s="515" t="s">
        <v>1907</v>
      </c>
      <c r="Z1143" s="515"/>
      <c r="AA1143" s="515"/>
      <c r="AB1143" s="515" t="s">
        <v>31</v>
      </c>
      <c r="AC1143" s="515"/>
      <c r="AD1143" s="515"/>
      <c r="AE1143" s="515" t="s">
        <v>974</v>
      </c>
      <c r="AF1143" s="515"/>
      <c r="AG1143" s="515"/>
      <c r="AH1143" s="514" t="s">
        <v>1908</v>
      </c>
      <c r="AI1143" s="515"/>
      <c r="AJ1143" s="515"/>
      <c r="AK1143" s="515" t="s">
        <v>1909</v>
      </c>
      <c r="AL1143" s="515"/>
      <c r="AM1143" s="515"/>
      <c r="AN1143" s="513" t="s">
        <v>907</v>
      </c>
      <c r="AO1143" s="513"/>
      <c r="AP1143" s="513"/>
      <c r="AQ1143" s="513"/>
      <c r="AR1143" s="513"/>
      <c r="AS1143" s="513"/>
      <c r="AT1143" s="25"/>
      <c r="AU1143" s="25"/>
      <c r="AV1143" s="25"/>
      <c r="AW1143" s="25"/>
      <c r="AX1143" s="25"/>
    </row>
    <row r="1144" spans="1:50" s="35" customFormat="1" ht="15" customHeight="1" x14ac:dyDescent="0.2">
      <c r="A1144" s="25"/>
      <c r="B1144" s="25"/>
      <c r="C1144" s="739" t="s">
        <v>1914</v>
      </c>
      <c r="D1144" s="739"/>
      <c r="E1144" s="739"/>
      <c r="F1144" s="739"/>
      <c r="G1144" s="739"/>
      <c r="H1144" s="739"/>
      <c r="I1144" s="739"/>
      <c r="J1144" s="739"/>
      <c r="K1144" s="739"/>
      <c r="L1144" s="739"/>
      <c r="M1144" s="739"/>
      <c r="N1144" s="739"/>
      <c r="O1144" s="739"/>
      <c r="P1144" s="739"/>
      <c r="Q1144" s="739"/>
      <c r="R1144" s="739"/>
      <c r="S1144" s="739"/>
      <c r="T1144" s="739"/>
      <c r="U1144" s="739"/>
      <c r="V1144" s="739"/>
      <c r="W1144" s="739"/>
      <c r="X1144" s="739"/>
      <c r="Y1144" s="739"/>
      <c r="Z1144" s="739"/>
      <c r="AA1144" s="739"/>
      <c r="AB1144" s="739"/>
      <c r="AC1144" s="739"/>
      <c r="AD1144" s="739"/>
      <c r="AE1144" s="739"/>
      <c r="AF1144" s="739"/>
      <c r="AG1144" s="739"/>
      <c r="AH1144" s="739"/>
      <c r="AI1144" s="739"/>
      <c r="AJ1144" s="739"/>
      <c r="AK1144" s="739"/>
      <c r="AL1144" s="739"/>
      <c r="AM1144" s="739"/>
      <c r="AN1144" s="739"/>
      <c r="AO1144" s="739"/>
      <c r="AP1144" s="739"/>
      <c r="AQ1144" s="739"/>
      <c r="AR1144" s="739"/>
      <c r="AS1144" s="739"/>
      <c r="AT1144" s="25"/>
      <c r="AU1144" s="25"/>
      <c r="AV1144" s="25"/>
      <c r="AW1144" s="25"/>
      <c r="AX1144" s="25"/>
    </row>
    <row r="1145" spans="1:50" s="35" customFormat="1" ht="15" customHeight="1" x14ac:dyDescent="0.25">
      <c r="A1145" s="25"/>
      <c r="B1145" s="25"/>
      <c r="C1145" s="508">
        <v>40</v>
      </c>
      <c r="D1145" s="508"/>
      <c r="E1145" s="513" t="s">
        <v>1735</v>
      </c>
      <c r="F1145" s="513"/>
      <c r="G1145" s="513"/>
      <c r="H1145" s="513"/>
      <c r="I1145" s="513"/>
      <c r="J1145" s="512" t="s">
        <v>1556</v>
      </c>
      <c r="K1145" s="512"/>
      <c r="L1145" s="512"/>
      <c r="M1145" s="512"/>
      <c r="N1145" s="512"/>
      <c r="O1145" s="512"/>
      <c r="P1145" s="512"/>
      <c r="Q1145" s="512"/>
      <c r="R1145" s="512"/>
      <c r="S1145" s="512"/>
      <c r="T1145" s="512"/>
      <c r="U1145" s="512"/>
      <c r="V1145" s="512"/>
      <c r="W1145" s="512"/>
      <c r="X1145" s="512"/>
      <c r="Y1145" s="507" t="s">
        <v>1487</v>
      </c>
      <c r="Z1145" s="507"/>
      <c r="AA1145" s="507"/>
      <c r="AB1145" s="507" t="s">
        <v>1488</v>
      </c>
      <c r="AC1145" s="507"/>
      <c r="AD1145" s="507"/>
      <c r="AE1145" s="507">
        <v>200</v>
      </c>
      <c r="AF1145" s="507"/>
      <c r="AG1145" s="507"/>
      <c r="AH1145" s="507">
        <v>30</v>
      </c>
      <c r="AI1145" s="507"/>
      <c r="AJ1145" s="507"/>
      <c r="AK1145" s="507" t="s">
        <v>1490</v>
      </c>
      <c r="AL1145" s="507"/>
      <c r="AM1145" s="507"/>
      <c r="AN1145" s="509">
        <f>VLOOKUP(E1145,'Выгрузка из 1С'!$B$4:$K$2000,10,FALSE)</f>
        <v>21322</v>
      </c>
      <c r="AO1145" s="509"/>
      <c r="AP1145" s="509"/>
      <c r="AQ1145" s="509"/>
      <c r="AR1145" s="509"/>
      <c r="AS1145" s="509"/>
      <c r="AT1145" s="25"/>
      <c r="AU1145" s="25"/>
      <c r="AV1145" s="25"/>
      <c r="AW1145" s="25"/>
      <c r="AX1145" s="25"/>
    </row>
    <row r="1146" spans="1:50" s="35" customFormat="1" ht="15" customHeight="1" x14ac:dyDescent="0.25">
      <c r="A1146" s="25"/>
      <c r="B1146" s="25"/>
      <c r="C1146" s="508">
        <v>40</v>
      </c>
      <c r="D1146" s="508"/>
      <c r="E1146" s="513" t="s">
        <v>1701</v>
      </c>
      <c r="F1146" s="513"/>
      <c r="G1146" s="513"/>
      <c r="H1146" s="513"/>
      <c r="I1146" s="513"/>
      <c r="J1146" s="512" t="s">
        <v>1557</v>
      </c>
      <c r="K1146" s="512"/>
      <c r="L1146" s="512"/>
      <c r="M1146" s="512"/>
      <c r="N1146" s="512"/>
      <c r="O1146" s="512"/>
      <c r="P1146" s="512"/>
      <c r="Q1146" s="512"/>
      <c r="R1146" s="512"/>
      <c r="S1146" s="512"/>
      <c r="T1146" s="512"/>
      <c r="U1146" s="512"/>
      <c r="V1146" s="512"/>
      <c r="W1146" s="512"/>
      <c r="X1146" s="512"/>
      <c r="Y1146" s="507" t="s">
        <v>1487</v>
      </c>
      <c r="Z1146" s="507"/>
      <c r="AA1146" s="507"/>
      <c r="AB1146" s="507" t="s">
        <v>1488</v>
      </c>
      <c r="AC1146" s="507"/>
      <c r="AD1146" s="507"/>
      <c r="AE1146" s="507">
        <v>200</v>
      </c>
      <c r="AF1146" s="507"/>
      <c r="AG1146" s="507"/>
      <c r="AH1146" s="507">
        <v>30</v>
      </c>
      <c r="AI1146" s="507"/>
      <c r="AJ1146" s="507"/>
      <c r="AK1146" s="507" t="s">
        <v>1490</v>
      </c>
      <c r="AL1146" s="507"/>
      <c r="AM1146" s="507"/>
      <c r="AN1146" s="509">
        <f>VLOOKUP(E1146,'Выгрузка из 1С'!$B$4:$K$2000,10,FALSE)</f>
        <v>23098.6</v>
      </c>
      <c r="AO1146" s="509"/>
      <c r="AP1146" s="509"/>
      <c r="AQ1146" s="509"/>
      <c r="AR1146" s="509"/>
      <c r="AS1146" s="509"/>
      <c r="AT1146" s="25"/>
      <c r="AU1146" s="25"/>
      <c r="AV1146" s="25"/>
      <c r="AW1146" s="25"/>
      <c r="AX1146" s="25"/>
    </row>
    <row r="1147" spans="1:50" s="35" customFormat="1" ht="15" customHeight="1" x14ac:dyDescent="0.25">
      <c r="A1147" s="25"/>
      <c r="B1147" s="25"/>
      <c r="C1147" s="508">
        <v>40</v>
      </c>
      <c r="D1147" s="508"/>
      <c r="E1147" s="513" t="s">
        <v>1857</v>
      </c>
      <c r="F1147" s="513"/>
      <c r="G1147" s="513"/>
      <c r="H1147" s="513"/>
      <c r="I1147" s="513"/>
      <c r="J1147" s="512" t="s">
        <v>1558</v>
      </c>
      <c r="K1147" s="512"/>
      <c r="L1147" s="512"/>
      <c r="M1147" s="512"/>
      <c r="N1147" s="512"/>
      <c r="O1147" s="512"/>
      <c r="P1147" s="512"/>
      <c r="Q1147" s="512"/>
      <c r="R1147" s="512"/>
      <c r="S1147" s="512"/>
      <c r="T1147" s="512"/>
      <c r="U1147" s="512"/>
      <c r="V1147" s="512"/>
      <c r="W1147" s="512"/>
      <c r="X1147" s="512"/>
      <c r="Y1147" s="507" t="s">
        <v>1548</v>
      </c>
      <c r="Z1147" s="507"/>
      <c r="AA1147" s="507"/>
      <c r="AB1147" s="507" t="s">
        <v>1488</v>
      </c>
      <c r="AC1147" s="507"/>
      <c r="AD1147" s="507"/>
      <c r="AE1147" s="507">
        <v>200</v>
      </c>
      <c r="AF1147" s="507"/>
      <c r="AG1147" s="507"/>
      <c r="AH1147" s="507">
        <v>20</v>
      </c>
      <c r="AI1147" s="507"/>
      <c r="AJ1147" s="507"/>
      <c r="AK1147" s="507" t="s">
        <v>1490</v>
      </c>
      <c r="AL1147" s="507"/>
      <c r="AM1147" s="507"/>
      <c r="AN1147" s="509">
        <f>VLOOKUP(E1147,'Выгрузка из 1С'!$B$4:$K$2000,10,FALSE)</f>
        <v>18340</v>
      </c>
      <c r="AO1147" s="509"/>
      <c r="AP1147" s="509"/>
      <c r="AQ1147" s="509"/>
      <c r="AR1147" s="509"/>
      <c r="AS1147" s="509"/>
      <c r="AT1147" s="25"/>
      <c r="AU1147" s="25"/>
      <c r="AV1147" s="25"/>
      <c r="AW1147" s="25"/>
      <c r="AX1147" s="25"/>
    </row>
    <row r="1148" spans="1:50" s="35" customFormat="1" ht="15" customHeight="1" x14ac:dyDescent="0.25">
      <c r="A1148" s="25"/>
      <c r="B1148" s="25"/>
      <c r="C1148" s="508">
        <v>40</v>
      </c>
      <c r="D1148" s="508"/>
      <c r="E1148" s="513" t="s">
        <v>1807</v>
      </c>
      <c r="F1148" s="513"/>
      <c r="G1148" s="513"/>
      <c r="H1148" s="513"/>
      <c r="I1148" s="513"/>
      <c r="J1148" s="512" t="s">
        <v>1559</v>
      </c>
      <c r="K1148" s="512"/>
      <c r="L1148" s="512"/>
      <c r="M1148" s="512"/>
      <c r="N1148" s="512"/>
      <c r="O1148" s="512"/>
      <c r="P1148" s="512"/>
      <c r="Q1148" s="512"/>
      <c r="R1148" s="512"/>
      <c r="S1148" s="512"/>
      <c r="T1148" s="512"/>
      <c r="U1148" s="512"/>
      <c r="V1148" s="512"/>
      <c r="W1148" s="512"/>
      <c r="X1148" s="512"/>
      <c r="Y1148" s="507" t="s">
        <v>1487</v>
      </c>
      <c r="Z1148" s="507"/>
      <c r="AA1148" s="507"/>
      <c r="AB1148" s="507" t="s">
        <v>1488</v>
      </c>
      <c r="AC1148" s="507"/>
      <c r="AD1148" s="507"/>
      <c r="AE1148" s="507">
        <v>200</v>
      </c>
      <c r="AF1148" s="507"/>
      <c r="AG1148" s="507"/>
      <c r="AH1148" s="507">
        <v>30</v>
      </c>
      <c r="AI1148" s="507"/>
      <c r="AJ1148" s="507"/>
      <c r="AK1148" s="507" t="s">
        <v>1490</v>
      </c>
      <c r="AL1148" s="507"/>
      <c r="AM1148" s="507"/>
      <c r="AN1148" s="509">
        <f>VLOOKUP(E1148,'Выгрузка из 1С'!$B$4:$K$2000,10,FALSE)</f>
        <v>26206.6</v>
      </c>
      <c r="AO1148" s="509"/>
      <c r="AP1148" s="509"/>
      <c r="AQ1148" s="509"/>
      <c r="AR1148" s="509"/>
      <c r="AS1148" s="509"/>
      <c r="AT1148" s="25"/>
      <c r="AU1148" s="25"/>
      <c r="AV1148" s="25"/>
      <c r="AW1148" s="25"/>
      <c r="AX1148" s="25"/>
    </row>
    <row r="1149" spans="1:50" s="35" customFormat="1" ht="15" customHeight="1" x14ac:dyDescent="0.25">
      <c r="A1149" s="25"/>
      <c r="B1149" s="25"/>
      <c r="C1149" s="508">
        <v>40</v>
      </c>
      <c r="D1149" s="508"/>
      <c r="E1149" s="513" t="s">
        <v>1693</v>
      </c>
      <c r="F1149" s="513"/>
      <c r="G1149" s="513"/>
      <c r="H1149" s="513"/>
      <c r="I1149" s="513"/>
      <c r="J1149" s="512" t="s">
        <v>1560</v>
      </c>
      <c r="K1149" s="512"/>
      <c r="L1149" s="512"/>
      <c r="M1149" s="512"/>
      <c r="N1149" s="512"/>
      <c r="O1149" s="512"/>
      <c r="P1149" s="512"/>
      <c r="Q1149" s="512"/>
      <c r="R1149" s="512"/>
      <c r="S1149" s="512"/>
      <c r="T1149" s="512"/>
      <c r="U1149" s="512"/>
      <c r="V1149" s="512"/>
      <c r="W1149" s="512"/>
      <c r="X1149" s="512"/>
      <c r="Y1149" s="507" t="s">
        <v>1487</v>
      </c>
      <c r="Z1149" s="507"/>
      <c r="AA1149" s="507"/>
      <c r="AB1149" s="507" t="s">
        <v>1488</v>
      </c>
      <c r="AC1149" s="507"/>
      <c r="AD1149" s="507"/>
      <c r="AE1149" s="507">
        <v>200</v>
      </c>
      <c r="AF1149" s="507"/>
      <c r="AG1149" s="507"/>
      <c r="AH1149" s="507">
        <v>30</v>
      </c>
      <c r="AI1149" s="507"/>
      <c r="AJ1149" s="507"/>
      <c r="AK1149" s="507" t="s">
        <v>1490</v>
      </c>
      <c r="AL1149" s="507"/>
      <c r="AM1149" s="507"/>
      <c r="AN1149" s="509">
        <f>VLOOKUP(E1149,'Выгрузка из 1С'!$B$4:$K$2000,10,FALSE)</f>
        <v>27983.200000000001</v>
      </c>
      <c r="AO1149" s="509"/>
      <c r="AP1149" s="509"/>
      <c r="AQ1149" s="509"/>
      <c r="AR1149" s="509"/>
      <c r="AS1149" s="509"/>
      <c r="AT1149" s="25"/>
      <c r="AU1149" s="25"/>
      <c r="AV1149" s="25"/>
      <c r="AW1149" s="25"/>
      <c r="AX1149" s="25"/>
    </row>
    <row r="1150" spans="1:50" s="35" customFormat="1" ht="15" customHeight="1" x14ac:dyDescent="0.25">
      <c r="A1150" s="25"/>
      <c r="B1150" s="25"/>
      <c r="C1150" s="508">
        <v>40</v>
      </c>
      <c r="D1150" s="508"/>
      <c r="E1150" s="513" t="s">
        <v>1856</v>
      </c>
      <c r="F1150" s="513"/>
      <c r="G1150" s="513"/>
      <c r="H1150" s="513"/>
      <c r="I1150" s="513"/>
      <c r="J1150" s="512" t="s">
        <v>1561</v>
      </c>
      <c r="K1150" s="512"/>
      <c r="L1150" s="512"/>
      <c r="M1150" s="512"/>
      <c r="N1150" s="512"/>
      <c r="O1150" s="512"/>
      <c r="P1150" s="512"/>
      <c r="Q1150" s="512"/>
      <c r="R1150" s="512"/>
      <c r="S1150" s="512"/>
      <c r="T1150" s="512"/>
      <c r="U1150" s="512"/>
      <c r="V1150" s="512"/>
      <c r="W1150" s="512"/>
      <c r="X1150" s="512"/>
      <c r="Y1150" s="507" t="s">
        <v>1548</v>
      </c>
      <c r="Z1150" s="507"/>
      <c r="AA1150" s="507"/>
      <c r="AB1150" s="507" t="s">
        <v>1488</v>
      </c>
      <c r="AC1150" s="507"/>
      <c r="AD1150" s="507"/>
      <c r="AE1150" s="507">
        <v>200</v>
      </c>
      <c r="AF1150" s="507"/>
      <c r="AG1150" s="507"/>
      <c r="AH1150" s="507">
        <v>20</v>
      </c>
      <c r="AI1150" s="507"/>
      <c r="AJ1150" s="507"/>
      <c r="AK1150" s="507" t="s">
        <v>1490</v>
      </c>
      <c r="AL1150" s="507"/>
      <c r="AM1150" s="507"/>
      <c r="AN1150" s="509">
        <f>VLOOKUP(E1150,'Выгрузка из 1С'!$B$4:$K$2000,10,FALSE)</f>
        <v>20650</v>
      </c>
      <c r="AO1150" s="509"/>
      <c r="AP1150" s="509"/>
      <c r="AQ1150" s="509"/>
      <c r="AR1150" s="509"/>
      <c r="AS1150" s="509"/>
      <c r="AT1150" s="25"/>
      <c r="AU1150" s="25"/>
      <c r="AV1150" s="25"/>
      <c r="AW1150" s="25"/>
      <c r="AX1150" s="25"/>
    </row>
    <row r="1151" spans="1:50" s="35" customFormat="1" ht="15" customHeight="1" x14ac:dyDescent="0.25">
      <c r="A1151" s="25"/>
      <c r="B1151" s="25"/>
      <c r="C1151" s="508">
        <v>50</v>
      </c>
      <c r="D1151" s="508"/>
      <c r="E1151" s="513" t="s">
        <v>1734</v>
      </c>
      <c r="F1151" s="513"/>
      <c r="G1151" s="513"/>
      <c r="H1151" s="513"/>
      <c r="I1151" s="513"/>
      <c r="J1151" s="512" t="s">
        <v>1562</v>
      </c>
      <c r="K1151" s="512"/>
      <c r="L1151" s="512"/>
      <c r="M1151" s="512"/>
      <c r="N1151" s="512"/>
      <c r="O1151" s="512"/>
      <c r="P1151" s="512"/>
      <c r="Q1151" s="512"/>
      <c r="R1151" s="512"/>
      <c r="S1151" s="512"/>
      <c r="T1151" s="512"/>
      <c r="U1151" s="512"/>
      <c r="V1151" s="512"/>
      <c r="W1151" s="512"/>
      <c r="X1151" s="512"/>
      <c r="Y1151" s="507" t="s">
        <v>1487</v>
      </c>
      <c r="Z1151" s="507"/>
      <c r="AA1151" s="507"/>
      <c r="AB1151" s="507" t="s">
        <v>1488</v>
      </c>
      <c r="AC1151" s="507"/>
      <c r="AD1151" s="507"/>
      <c r="AE1151" s="507">
        <v>200</v>
      </c>
      <c r="AF1151" s="507"/>
      <c r="AG1151" s="507"/>
      <c r="AH1151" s="507">
        <v>30</v>
      </c>
      <c r="AI1151" s="507"/>
      <c r="AJ1151" s="507"/>
      <c r="AK1151" s="507" t="s">
        <v>1490</v>
      </c>
      <c r="AL1151" s="507"/>
      <c r="AM1151" s="507"/>
      <c r="AN1151" s="509">
        <f>VLOOKUP(E1151,'Выгрузка из 1С'!$B$4:$K$2000,10,FALSE)</f>
        <v>29059.8</v>
      </c>
      <c r="AO1151" s="509"/>
      <c r="AP1151" s="509"/>
      <c r="AQ1151" s="509"/>
      <c r="AR1151" s="509"/>
      <c r="AS1151" s="509"/>
      <c r="AT1151" s="25"/>
      <c r="AU1151" s="25"/>
      <c r="AV1151" s="25"/>
      <c r="AW1151" s="25"/>
      <c r="AX1151" s="25"/>
    </row>
    <row r="1152" spans="1:50" s="35" customFormat="1" ht="15" customHeight="1" x14ac:dyDescent="0.25">
      <c r="A1152" s="25"/>
      <c r="B1152" s="25"/>
      <c r="C1152" s="508">
        <v>50</v>
      </c>
      <c r="D1152" s="508"/>
      <c r="E1152" s="513" t="s">
        <v>1733</v>
      </c>
      <c r="F1152" s="513"/>
      <c r="G1152" s="513"/>
      <c r="H1152" s="513"/>
      <c r="I1152" s="513"/>
      <c r="J1152" s="512" t="s">
        <v>1563</v>
      </c>
      <c r="K1152" s="512"/>
      <c r="L1152" s="512"/>
      <c r="M1152" s="512"/>
      <c r="N1152" s="512"/>
      <c r="O1152" s="512"/>
      <c r="P1152" s="512"/>
      <c r="Q1152" s="512"/>
      <c r="R1152" s="512"/>
      <c r="S1152" s="512"/>
      <c r="T1152" s="512"/>
      <c r="U1152" s="512"/>
      <c r="V1152" s="512"/>
      <c r="W1152" s="512"/>
      <c r="X1152" s="512"/>
      <c r="Y1152" s="507" t="s">
        <v>1487</v>
      </c>
      <c r="Z1152" s="507"/>
      <c r="AA1152" s="507"/>
      <c r="AB1152" s="507" t="s">
        <v>1488</v>
      </c>
      <c r="AC1152" s="507"/>
      <c r="AD1152" s="507"/>
      <c r="AE1152" s="507">
        <v>200</v>
      </c>
      <c r="AF1152" s="507"/>
      <c r="AG1152" s="507"/>
      <c r="AH1152" s="507">
        <v>30</v>
      </c>
      <c r="AI1152" s="507"/>
      <c r="AJ1152" s="507"/>
      <c r="AK1152" s="507" t="s">
        <v>1490</v>
      </c>
      <c r="AL1152" s="507"/>
      <c r="AM1152" s="507"/>
      <c r="AN1152" s="509">
        <f>VLOOKUP(E1152,'Выгрузка из 1С'!$B$4:$K$2000,10,FALSE)</f>
        <v>30836.400000000001</v>
      </c>
      <c r="AO1152" s="509"/>
      <c r="AP1152" s="509"/>
      <c r="AQ1152" s="509"/>
      <c r="AR1152" s="509"/>
      <c r="AS1152" s="509"/>
      <c r="AT1152" s="25"/>
      <c r="AU1152" s="25"/>
      <c r="AV1152" s="25"/>
      <c r="AW1152" s="25"/>
      <c r="AX1152" s="25"/>
    </row>
    <row r="1153" spans="1:50" s="35" customFormat="1" ht="15" customHeight="1" x14ac:dyDescent="0.25">
      <c r="A1153" s="25"/>
      <c r="B1153" s="25"/>
      <c r="C1153" s="508">
        <v>50</v>
      </c>
      <c r="D1153" s="508"/>
      <c r="E1153" s="513" t="s">
        <v>1879</v>
      </c>
      <c r="F1153" s="513"/>
      <c r="G1153" s="513"/>
      <c r="H1153" s="513"/>
      <c r="I1153" s="513"/>
      <c r="J1153" s="512" t="s">
        <v>1564</v>
      </c>
      <c r="K1153" s="512"/>
      <c r="L1153" s="512"/>
      <c r="M1153" s="512"/>
      <c r="N1153" s="512"/>
      <c r="O1153" s="512"/>
      <c r="P1153" s="512"/>
      <c r="Q1153" s="512"/>
      <c r="R1153" s="512"/>
      <c r="S1153" s="512"/>
      <c r="T1153" s="512"/>
      <c r="U1153" s="512"/>
      <c r="V1153" s="512"/>
      <c r="W1153" s="512"/>
      <c r="X1153" s="512"/>
      <c r="Y1153" s="507" t="s">
        <v>1548</v>
      </c>
      <c r="Z1153" s="507"/>
      <c r="AA1153" s="507"/>
      <c r="AB1153" s="507" t="s">
        <v>1488</v>
      </c>
      <c r="AC1153" s="507"/>
      <c r="AD1153" s="507"/>
      <c r="AE1153" s="507">
        <v>200</v>
      </c>
      <c r="AF1153" s="507"/>
      <c r="AG1153" s="507"/>
      <c r="AH1153" s="507">
        <v>15</v>
      </c>
      <c r="AI1153" s="507"/>
      <c r="AJ1153" s="507"/>
      <c r="AK1153" s="507" t="s">
        <v>1490</v>
      </c>
      <c r="AL1153" s="507"/>
      <c r="AM1153" s="507"/>
      <c r="AN1153" s="509">
        <f>VLOOKUP(E1153,'Выгрузка из 1С'!$B$4:$K$2000,10,FALSE)</f>
        <v>15557</v>
      </c>
      <c r="AO1153" s="509"/>
      <c r="AP1153" s="509"/>
      <c r="AQ1153" s="509"/>
      <c r="AR1153" s="509"/>
      <c r="AS1153" s="509"/>
      <c r="AT1153" s="25"/>
      <c r="AU1153" s="25"/>
      <c r="AV1153" s="25"/>
      <c r="AW1153" s="25"/>
      <c r="AX1153" s="25"/>
    </row>
    <row r="1154" spans="1:50" s="35" customFormat="1" ht="15" customHeight="1" x14ac:dyDescent="0.25">
      <c r="A1154" s="25"/>
      <c r="B1154" s="25"/>
      <c r="C1154" s="508">
        <v>50</v>
      </c>
      <c r="D1154" s="508"/>
      <c r="E1154" s="513" t="s">
        <v>1855</v>
      </c>
      <c r="F1154" s="513"/>
      <c r="G1154" s="513"/>
      <c r="H1154" s="513"/>
      <c r="I1154" s="513"/>
      <c r="J1154" s="512" t="s">
        <v>1565</v>
      </c>
      <c r="K1154" s="512"/>
      <c r="L1154" s="512"/>
      <c r="M1154" s="512"/>
      <c r="N1154" s="512"/>
      <c r="O1154" s="512"/>
      <c r="P1154" s="512"/>
      <c r="Q1154" s="512"/>
      <c r="R1154" s="512"/>
      <c r="S1154" s="512"/>
      <c r="T1154" s="512"/>
      <c r="U1154" s="512"/>
      <c r="V1154" s="512"/>
      <c r="W1154" s="512"/>
      <c r="X1154" s="512"/>
      <c r="Y1154" s="507" t="s">
        <v>1548</v>
      </c>
      <c r="Z1154" s="507"/>
      <c r="AA1154" s="507"/>
      <c r="AB1154" s="507" t="s">
        <v>1488</v>
      </c>
      <c r="AC1154" s="507"/>
      <c r="AD1154" s="507"/>
      <c r="AE1154" s="507">
        <v>200</v>
      </c>
      <c r="AF1154" s="507"/>
      <c r="AG1154" s="507"/>
      <c r="AH1154" s="507">
        <v>25</v>
      </c>
      <c r="AI1154" s="507"/>
      <c r="AJ1154" s="507"/>
      <c r="AK1154" s="507" t="s">
        <v>1490</v>
      </c>
      <c r="AL1154" s="507"/>
      <c r="AM1154" s="507"/>
      <c r="AN1154" s="509">
        <f>VLOOKUP(E1154,'Выгрузка из 1С'!$B$4:$K$2000,10,FALSE)</f>
        <v>19040</v>
      </c>
      <c r="AO1154" s="509"/>
      <c r="AP1154" s="509"/>
      <c r="AQ1154" s="509"/>
      <c r="AR1154" s="509"/>
      <c r="AS1154" s="509"/>
      <c r="AT1154" s="25"/>
      <c r="AU1154" s="25"/>
      <c r="AV1154" s="25"/>
      <c r="AW1154" s="25"/>
      <c r="AX1154" s="25"/>
    </row>
    <row r="1155" spans="1:50" s="35" customFormat="1" ht="15" customHeight="1" x14ac:dyDescent="0.25">
      <c r="A1155" s="25"/>
      <c r="B1155" s="25"/>
      <c r="C1155" s="508">
        <v>50</v>
      </c>
      <c r="D1155" s="508"/>
      <c r="E1155" s="513" t="s">
        <v>1723</v>
      </c>
      <c r="F1155" s="513"/>
      <c r="G1155" s="513"/>
      <c r="H1155" s="513"/>
      <c r="I1155" s="513"/>
      <c r="J1155" s="512" t="s">
        <v>1566</v>
      </c>
      <c r="K1155" s="512"/>
      <c r="L1155" s="512"/>
      <c r="M1155" s="512"/>
      <c r="N1155" s="512"/>
      <c r="O1155" s="512"/>
      <c r="P1155" s="512"/>
      <c r="Q1155" s="512"/>
      <c r="R1155" s="512"/>
      <c r="S1155" s="512"/>
      <c r="T1155" s="512"/>
      <c r="U1155" s="512"/>
      <c r="V1155" s="512"/>
      <c r="W1155" s="512"/>
      <c r="X1155" s="512"/>
      <c r="Y1155" s="507" t="s">
        <v>1487</v>
      </c>
      <c r="Z1155" s="507"/>
      <c r="AA1155" s="507"/>
      <c r="AB1155" s="507" t="s">
        <v>1488</v>
      </c>
      <c r="AC1155" s="507"/>
      <c r="AD1155" s="507"/>
      <c r="AE1155" s="507">
        <v>200</v>
      </c>
      <c r="AF1155" s="507"/>
      <c r="AG1155" s="507"/>
      <c r="AH1155" s="507">
        <v>30</v>
      </c>
      <c r="AI1155" s="507"/>
      <c r="AJ1155" s="507"/>
      <c r="AK1155" s="507" t="s">
        <v>1490</v>
      </c>
      <c r="AL1155" s="507"/>
      <c r="AM1155" s="507"/>
      <c r="AN1155" s="509">
        <f>VLOOKUP(E1155,'Выгрузка из 1С'!$B$4:$K$2000,10,FALSE)</f>
        <v>32547.200000000001</v>
      </c>
      <c r="AO1155" s="509"/>
      <c r="AP1155" s="509"/>
      <c r="AQ1155" s="509"/>
      <c r="AR1155" s="509"/>
      <c r="AS1155" s="509"/>
      <c r="AT1155" s="25"/>
      <c r="AU1155" s="25"/>
      <c r="AV1155" s="25"/>
      <c r="AW1155" s="25"/>
      <c r="AX1155" s="25"/>
    </row>
    <row r="1156" spans="1:50" s="35" customFormat="1" ht="15" customHeight="1" x14ac:dyDescent="0.25">
      <c r="A1156" s="25"/>
      <c r="B1156" s="25"/>
      <c r="C1156" s="508">
        <v>50</v>
      </c>
      <c r="D1156" s="508"/>
      <c r="E1156" s="513" t="s">
        <v>1722</v>
      </c>
      <c r="F1156" s="513"/>
      <c r="G1156" s="513"/>
      <c r="H1156" s="513"/>
      <c r="I1156" s="513"/>
      <c r="J1156" s="512" t="s">
        <v>1567</v>
      </c>
      <c r="K1156" s="512"/>
      <c r="L1156" s="512"/>
      <c r="M1156" s="512"/>
      <c r="N1156" s="512"/>
      <c r="O1156" s="512"/>
      <c r="P1156" s="512"/>
      <c r="Q1156" s="512"/>
      <c r="R1156" s="512"/>
      <c r="S1156" s="512"/>
      <c r="T1156" s="512"/>
      <c r="U1156" s="512"/>
      <c r="V1156" s="512"/>
      <c r="W1156" s="512"/>
      <c r="X1156" s="512"/>
      <c r="Y1156" s="507" t="s">
        <v>1487</v>
      </c>
      <c r="Z1156" s="507"/>
      <c r="AA1156" s="507"/>
      <c r="AB1156" s="507" t="s">
        <v>1488</v>
      </c>
      <c r="AC1156" s="507"/>
      <c r="AD1156" s="507"/>
      <c r="AE1156" s="507">
        <v>200</v>
      </c>
      <c r="AF1156" s="507"/>
      <c r="AG1156" s="507"/>
      <c r="AH1156" s="507">
        <v>30</v>
      </c>
      <c r="AI1156" s="507"/>
      <c r="AJ1156" s="507"/>
      <c r="AK1156" s="507" t="s">
        <v>1490</v>
      </c>
      <c r="AL1156" s="507"/>
      <c r="AM1156" s="507"/>
      <c r="AN1156" s="509">
        <f>VLOOKUP(E1156,'Выгрузка из 1С'!$B$4:$K$2000,10,FALSE)</f>
        <v>34323.800000000003</v>
      </c>
      <c r="AO1156" s="509"/>
      <c r="AP1156" s="509"/>
      <c r="AQ1156" s="509"/>
      <c r="AR1156" s="509"/>
      <c r="AS1156" s="509"/>
      <c r="AT1156" s="25"/>
      <c r="AU1156" s="25"/>
      <c r="AV1156" s="25"/>
      <c r="AW1156" s="25"/>
      <c r="AX1156" s="25"/>
    </row>
    <row r="1157" spans="1:50" s="35" customFormat="1" ht="15" customHeight="1" x14ac:dyDescent="0.25">
      <c r="A1157" s="25"/>
      <c r="B1157" s="25"/>
      <c r="C1157" s="508">
        <v>50</v>
      </c>
      <c r="D1157" s="508"/>
      <c r="E1157" s="513" t="s">
        <v>1878</v>
      </c>
      <c r="F1157" s="513"/>
      <c r="G1157" s="513"/>
      <c r="H1157" s="513"/>
      <c r="I1157" s="513"/>
      <c r="J1157" s="512" t="s">
        <v>1568</v>
      </c>
      <c r="K1157" s="512"/>
      <c r="L1157" s="512"/>
      <c r="M1157" s="512"/>
      <c r="N1157" s="512"/>
      <c r="O1157" s="512"/>
      <c r="P1157" s="512"/>
      <c r="Q1157" s="512"/>
      <c r="R1157" s="512"/>
      <c r="S1157" s="512"/>
      <c r="T1157" s="512"/>
      <c r="U1157" s="512"/>
      <c r="V1157" s="512"/>
      <c r="W1157" s="512"/>
      <c r="X1157" s="512"/>
      <c r="Y1157" s="507" t="s">
        <v>1548</v>
      </c>
      <c r="Z1157" s="507"/>
      <c r="AA1157" s="507"/>
      <c r="AB1157" s="507" t="s">
        <v>1488</v>
      </c>
      <c r="AC1157" s="507"/>
      <c r="AD1157" s="507"/>
      <c r="AE1157" s="507">
        <v>200</v>
      </c>
      <c r="AF1157" s="507"/>
      <c r="AG1157" s="507"/>
      <c r="AH1157" s="507">
        <v>15</v>
      </c>
      <c r="AI1157" s="507"/>
      <c r="AJ1157" s="507"/>
      <c r="AK1157" s="507" t="s">
        <v>1490</v>
      </c>
      <c r="AL1157" s="507"/>
      <c r="AM1157" s="507"/>
      <c r="AN1157" s="509">
        <f>VLOOKUP(E1157,'Выгрузка из 1С'!$B$4:$K$2000,10,FALSE)</f>
        <v>17867</v>
      </c>
      <c r="AO1157" s="509"/>
      <c r="AP1157" s="509"/>
      <c r="AQ1157" s="509"/>
      <c r="AR1157" s="509"/>
      <c r="AS1157" s="509"/>
      <c r="AT1157" s="25"/>
      <c r="AU1157" s="25"/>
      <c r="AV1157" s="25"/>
      <c r="AW1157" s="25"/>
      <c r="AX1157" s="25"/>
    </row>
    <row r="1158" spans="1:50" s="35" customFormat="1" ht="15" customHeight="1" x14ac:dyDescent="0.25">
      <c r="A1158" s="25"/>
      <c r="B1158" s="25"/>
      <c r="C1158" s="508">
        <v>50</v>
      </c>
      <c r="D1158" s="508"/>
      <c r="E1158" s="513" t="s">
        <v>1854</v>
      </c>
      <c r="F1158" s="513"/>
      <c r="G1158" s="513"/>
      <c r="H1158" s="513"/>
      <c r="I1158" s="513"/>
      <c r="J1158" s="512" t="s">
        <v>1569</v>
      </c>
      <c r="K1158" s="512"/>
      <c r="L1158" s="512"/>
      <c r="M1158" s="512"/>
      <c r="N1158" s="512"/>
      <c r="O1158" s="512"/>
      <c r="P1158" s="512"/>
      <c r="Q1158" s="512"/>
      <c r="R1158" s="512"/>
      <c r="S1158" s="512"/>
      <c r="T1158" s="512"/>
      <c r="U1158" s="512"/>
      <c r="V1158" s="512"/>
      <c r="W1158" s="512"/>
      <c r="X1158" s="512"/>
      <c r="Y1158" s="507" t="s">
        <v>1548</v>
      </c>
      <c r="Z1158" s="507"/>
      <c r="AA1158" s="507"/>
      <c r="AB1158" s="507" t="s">
        <v>1488</v>
      </c>
      <c r="AC1158" s="507"/>
      <c r="AD1158" s="507"/>
      <c r="AE1158" s="507">
        <v>200</v>
      </c>
      <c r="AF1158" s="507"/>
      <c r="AG1158" s="507"/>
      <c r="AH1158" s="507">
        <v>25</v>
      </c>
      <c r="AI1158" s="507"/>
      <c r="AJ1158" s="507"/>
      <c r="AK1158" s="507" t="s">
        <v>1490</v>
      </c>
      <c r="AL1158" s="507"/>
      <c r="AM1158" s="507"/>
      <c r="AN1158" s="509">
        <f>VLOOKUP(E1158,'Выгрузка из 1С'!$B$4:$K$2000,10,FALSE)</f>
        <v>22610</v>
      </c>
      <c r="AO1158" s="509"/>
      <c r="AP1158" s="509"/>
      <c r="AQ1158" s="509"/>
      <c r="AR1158" s="509"/>
      <c r="AS1158" s="509"/>
      <c r="AT1158" s="25"/>
      <c r="AU1158" s="25"/>
      <c r="AV1158" s="25"/>
      <c r="AW1158" s="25"/>
      <c r="AX1158" s="25"/>
    </row>
    <row r="1159" spans="1:50" s="35" customFormat="1" ht="15" customHeight="1" x14ac:dyDescent="0.25">
      <c r="A1159" s="25"/>
      <c r="B1159" s="25"/>
      <c r="C1159" s="508">
        <v>65</v>
      </c>
      <c r="D1159" s="508"/>
      <c r="E1159" s="513" t="s">
        <v>1732</v>
      </c>
      <c r="F1159" s="513"/>
      <c r="G1159" s="513"/>
      <c r="H1159" s="513"/>
      <c r="I1159" s="513"/>
      <c r="J1159" s="512" t="s">
        <v>1570</v>
      </c>
      <c r="K1159" s="512"/>
      <c r="L1159" s="512"/>
      <c r="M1159" s="512"/>
      <c r="N1159" s="512"/>
      <c r="O1159" s="512"/>
      <c r="P1159" s="512"/>
      <c r="Q1159" s="512"/>
      <c r="R1159" s="512"/>
      <c r="S1159" s="512"/>
      <c r="T1159" s="512"/>
      <c r="U1159" s="512"/>
      <c r="V1159" s="512"/>
      <c r="W1159" s="512"/>
      <c r="X1159" s="512"/>
      <c r="Y1159" s="507" t="s">
        <v>1487</v>
      </c>
      <c r="Z1159" s="507"/>
      <c r="AA1159" s="507"/>
      <c r="AB1159" s="507" t="s">
        <v>1488</v>
      </c>
      <c r="AC1159" s="507"/>
      <c r="AD1159" s="507"/>
      <c r="AE1159" s="507">
        <v>200</v>
      </c>
      <c r="AF1159" s="507"/>
      <c r="AG1159" s="507"/>
      <c r="AH1159" s="507">
        <v>60</v>
      </c>
      <c r="AI1159" s="507"/>
      <c r="AJ1159" s="507"/>
      <c r="AK1159" s="507" t="s">
        <v>1490</v>
      </c>
      <c r="AL1159" s="507"/>
      <c r="AM1159" s="507"/>
      <c r="AN1159" s="509">
        <f>VLOOKUP(E1159,'Выгрузка из 1С'!$B$4:$K$2000,10,FALSE)</f>
        <v>30765</v>
      </c>
      <c r="AO1159" s="509"/>
      <c r="AP1159" s="509"/>
      <c r="AQ1159" s="509"/>
      <c r="AR1159" s="509"/>
      <c r="AS1159" s="509"/>
      <c r="AT1159" s="25"/>
      <c r="AU1159" s="25"/>
      <c r="AV1159" s="25"/>
      <c r="AW1159" s="25"/>
      <c r="AX1159" s="25"/>
    </row>
    <row r="1160" spans="1:50" s="35" customFormat="1" ht="15" customHeight="1" x14ac:dyDescent="0.25">
      <c r="A1160" s="25"/>
      <c r="B1160" s="25"/>
      <c r="C1160" s="508">
        <v>65</v>
      </c>
      <c r="D1160" s="508"/>
      <c r="E1160" s="513" t="s">
        <v>1731</v>
      </c>
      <c r="F1160" s="513"/>
      <c r="G1160" s="513"/>
      <c r="H1160" s="513"/>
      <c r="I1160" s="513"/>
      <c r="J1160" s="512" t="s">
        <v>1571</v>
      </c>
      <c r="K1160" s="512"/>
      <c r="L1160" s="512"/>
      <c r="M1160" s="512"/>
      <c r="N1160" s="512"/>
      <c r="O1160" s="512"/>
      <c r="P1160" s="512"/>
      <c r="Q1160" s="512"/>
      <c r="R1160" s="512"/>
      <c r="S1160" s="512"/>
      <c r="T1160" s="512"/>
      <c r="U1160" s="512"/>
      <c r="V1160" s="512"/>
      <c r="W1160" s="512"/>
      <c r="X1160" s="512"/>
      <c r="Y1160" s="507" t="s">
        <v>1487</v>
      </c>
      <c r="Z1160" s="507"/>
      <c r="AA1160" s="507"/>
      <c r="AB1160" s="507" t="s">
        <v>1488</v>
      </c>
      <c r="AC1160" s="507"/>
      <c r="AD1160" s="507"/>
      <c r="AE1160" s="507">
        <v>200</v>
      </c>
      <c r="AF1160" s="507"/>
      <c r="AG1160" s="507"/>
      <c r="AH1160" s="507">
        <v>60</v>
      </c>
      <c r="AI1160" s="507"/>
      <c r="AJ1160" s="507"/>
      <c r="AK1160" s="507" t="s">
        <v>1490</v>
      </c>
      <c r="AL1160" s="507"/>
      <c r="AM1160" s="507"/>
      <c r="AN1160" s="509">
        <f>VLOOKUP(E1160,'Выгрузка из 1С'!$B$4:$K$2000,10,FALSE)</f>
        <v>32541.599999999999</v>
      </c>
      <c r="AO1160" s="509"/>
      <c r="AP1160" s="509"/>
      <c r="AQ1160" s="509"/>
      <c r="AR1160" s="509"/>
      <c r="AS1160" s="509"/>
      <c r="AT1160" s="25"/>
      <c r="AU1160" s="25"/>
      <c r="AV1160" s="25"/>
      <c r="AW1160" s="25"/>
      <c r="AX1160" s="25"/>
    </row>
    <row r="1161" spans="1:50" s="35" customFormat="1" ht="15" customHeight="1" x14ac:dyDescent="0.25">
      <c r="A1161" s="25"/>
      <c r="B1161" s="25"/>
      <c r="C1161" s="508">
        <v>65</v>
      </c>
      <c r="D1161" s="508"/>
      <c r="E1161" s="513" t="s">
        <v>1876</v>
      </c>
      <c r="F1161" s="513"/>
      <c r="G1161" s="513"/>
      <c r="H1161" s="513"/>
      <c r="I1161" s="513"/>
      <c r="J1161" s="512" t="s">
        <v>1572</v>
      </c>
      <c r="K1161" s="512"/>
      <c r="L1161" s="512"/>
      <c r="M1161" s="512"/>
      <c r="N1161" s="512"/>
      <c r="O1161" s="512"/>
      <c r="P1161" s="512"/>
      <c r="Q1161" s="512"/>
      <c r="R1161" s="512"/>
      <c r="S1161" s="512"/>
      <c r="T1161" s="512"/>
      <c r="U1161" s="512"/>
      <c r="V1161" s="512"/>
      <c r="W1161" s="512"/>
      <c r="X1161" s="512"/>
      <c r="Y1161" s="507" t="s">
        <v>1548</v>
      </c>
      <c r="Z1161" s="507"/>
      <c r="AA1161" s="507"/>
      <c r="AB1161" s="507" t="s">
        <v>1488</v>
      </c>
      <c r="AC1161" s="507"/>
      <c r="AD1161" s="507"/>
      <c r="AE1161" s="507">
        <v>200</v>
      </c>
      <c r="AF1161" s="507"/>
      <c r="AG1161" s="507"/>
      <c r="AH1161" s="507">
        <v>25</v>
      </c>
      <c r="AI1161" s="507"/>
      <c r="AJ1161" s="507"/>
      <c r="AK1161" s="507" t="s">
        <v>1490</v>
      </c>
      <c r="AL1161" s="507"/>
      <c r="AM1161" s="507"/>
      <c r="AN1161" s="509">
        <f>VLOOKUP(E1161,'Выгрузка из 1С'!$B$4:$K$2000,10,FALSE)</f>
        <v>18167</v>
      </c>
      <c r="AO1161" s="509"/>
      <c r="AP1161" s="509"/>
      <c r="AQ1161" s="509"/>
      <c r="AR1161" s="509"/>
      <c r="AS1161" s="509"/>
      <c r="AT1161" s="25"/>
      <c r="AU1161" s="25"/>
      <c r="AV1161" s="25"/>
      <c r="AW1161" s="25"/>
      <c r="AX1161" s="25"/>
    </row>
    <row r="1162" spans="1:50" s="35" customFormat="1" ht="15" customHeight="1" x14ac:dyDescent="0.25">
      <c r="A1162" s="25"/>
      <c r="B1162" s="25"/>
      <c r="C1162" s="508">
        <v>65</v>
      </c>
      <c r="D1162" s="508"/>
      <c r="E1162" s="513" t="s">
        <v>1853</v>
      </c>
      <c r="F1162" s="513"/>
      <c r="G1162" s="513"/>
      <c r="H1162" s="513"/>
      <c r="I1162" s="513"/>
      <c r="J1162" s="512" t="s">
        <v>1573</v>
      </c>
      <c r="K1162" s="512"/>
      <c r="L1162" s="512"/>
      <c r="M1162" s="512"/>
      <c r="N1162" s="512"/>
      <c r="O1162" s="512"/>
      <c r="P1162" s="512"/>
      <c r="Q1162" s="512"/>
      <c r="R1162" s="512"/>
      <c r="S1162" s="512"/>
      <c r="T1162" s="512"/>
      <c r="U1162" s="512"/>
      <c r="V1162" s="512"/>
      <c r="W1162" s="512"/>
      <c r="X1162" s="512"/>
      <c r="Y1162" s="507" t="s">
        <v>1548</v>
      </c>
      <c r="Z1162" s="507"/>
      <c r="AA1162" s="507"/>
      <c r="AB1162" s="507" t="s">
        <v>1488</v>
      </c>
      <c r="AC1162" s="507"/>
      <c r="AD1162" s="507"/>
      <c r="AE1162" s="507">
        <v>200</v>
      </c>
      <c r="AF1162" s="507"/>
      <c r="AG1162" s="507"/>
      <c r="AH1162" s="507">
        <v>40</v>
      </c>
      <c r="AI1162" s="507"/>
      <c r="AJ1162" s="507"/>
      <c r="AK1162" s="507" t="s">
        <v>1490</v>
      </c>
      <c r="AL1162" s="507"/>
      <c r="AM1162" s="507"/>
      <c r="AN1162" s="509">
        <f>VLOOKUP(E1162,'Выгрузка из 1С'!$B$4:$K$2000,10,FALSE)</f>
        <v>21280</v>
      </c>
      <c r="AO1162" s="509"/>
      <c r="AP1162" s="509"/>
      <c r="AQ1162" s="509"/>
      <c r="AR1162" s="509"/>
      <c r="AS1162" s="509"/>
      <c r="AT1162" s="25"/>
      <c r="AU1162" s="25"/>
      <c r="AV1162" s="25"/>
      <c r="AW1162" s="25"/>
      <c r="AX1162" s="25"/>
    </row>
    <row r="1163" spans="1:50" s="35" customFormat="1" ht="15" customHeight="1" x14ac:dyDescent="0.25">
      <c r="A1163" s="25"/>
      <c r="B1163" s="25"/>
      <c r="C1163" s="508">
        <v>65</v>
      </c>
      <c r="D1163" s="508"/>
      <c r="E1163" s="513" t="s">
        <v>1721</v>
      </c>
      <c r="F1163" s="513"/>
      <c r="G1163" s="513"/>
      <c r="H1163" s="513"/>
      <c r="I1163" s="513"/>
      <c r="J1163" s="512" t="s">
        <v>1574</v>
      </c>
      <c r="K1163" s="512"/>
      <c r="L1163" s="512"/>
      <c r="M1163" s="512"/>
      <c r="N1163" s="512"/>
      <c r="O1163" s="512"/>
      <c r="P1163" s="512"/>
      <c r="Q1163" s="512"/>
      <c r="R1163" s="512"/>
      <c r="S1163" s="512"/>
      <c r="T1163" s="512"/>
      <c r="U1163" s="512"/>
      <c r="V1163" s="512"/>
      <c r="W1163" s="512"/>
      <c r="X1163" s="512"/>
      <c r="Y1163" s="507" t="s">
        <v>1487</v>
      </c>
      <c r="Z1163" s="507"/>
      <c r="AA1163" s="507"/>
      <c r="AB1163" s="507" t="s">
        <v>1488</v>
      </c>
      <c r="AC1163" s="507"/>
      <c r="AD1163" s="507"/>
      <c r="AE1163" s="507">
        <v>200</v>
      </c>
      <c r="AF1163" s="507"/>
      <c r="AG1163" s="507"/>
      <c r="AH1163" s="507">
        <v>60</v>
      </c>
      <c r="AI1163" s="507"/>
      <c r="AJ1163" s="507"/>
      <c r="AK1163" s="507" t="s">
        <v>1490</v>
      </c>
      <c r="AL1163" s="507"/>
      <c r="AM1163" s="507"/>
      <c r="AN1163" s="509">
        <f>VLOOKUP(E1163,'Выгрузка из 1С'!$B$4:$K$2000,10,FALSE)</f>
        <v>35497</v>
      </c>
      <c r="AO1163" s="509"/>
      <c r="AP1163" s="509"/>
      <c r="AQ1163" s="509"/>
      <c r="AR1163" s="509"/>
      <c r="AS1163" s="509"/>
      <c r="AT1163" s="25"/>
      <c r="AU1163" s="25"/>
      <c r="AV1163" s="25"/>
      <c r="AW1163" s="25"/>
      <c r="AX1163" s="25"/>
    </row>
    <row r="1164" spans="1:50" s="35" customFormat="1" ht="15" customHeight="1" x14ac:dyDescent="0.25">
      <c r="A1164" s="25"/>
      <c r="B1164" s="25"/>
      <c r="C1164" s="508">
        <v>65</v>
      </c>
      <c r="D1164" s="508"/>
      <c r="E1164" s="513" t="s">
        <v>1692</v>
      </c>
      <c r="F1164" s="513"/>
      <c r="G1164" s="513"/>
      <c r="H1164" s="513"/>
      <c r="I1164" s="513"/>
      <c r="J1164" s="512" t="s">
        <v>1575</v>
      </c>
      <c r="K1164" s="512"/>
      <c r="L1164" s="512"/>
      <c r="M1164" s="512"/>
      <c r="N1164" s="512"/>
      <c r="O1164" s="512"/>
      <c r="P1164" s="512"/>
      <c r="Q1164" s="512"/>
      <c r="R1164" s="512"/>
      <c r="S1164" s="512"/>
      <c r="T1164" s="512"/>
      <c r="U1164" s="512"/>
      <c r="V1164" s="512"/>
      <c r="W1164" s="512"/>
      <c r="X1164" s="512"/>
      <c r="Y1164" s="507" t="s">
        <v>1487</v>
      </c>
      <c r="Z1164" s="507"/>
      <c r="AA1164" s="507"/>
      <c r="AB1164" s="507" t="s">
        <v>1488</v>
      </c>
      <c r="AC1164" s="507"/>
      <c r="AD1164" s="507"/>
      <c r="AE1164" s="507">
        <v>200</v>
      </c>
      <c r="AF1164" s="507"/>
      <c r="AG1164" s="507"/>
      <c r="AH1164" s="507">
        <v>60</v>
      </c>
      <c r="AI1164" s="507"/>
      <c r="AJ1164" s="507"/>
      <c r="AK1164" s="507" t="s">
        <v>1490</v>
      </c>
      <c r="AL1164" s="507"/>
      <c r="AM1164" s="507"/>
      <c r="AN1164" s="509">
        <f>VLOOKUP(E1164,'Выгрузка из 1С'!$B$4:$K$2000,10,FALSE)</f>
        <v>37273.599999999999</v>
      </c>
      <c r="AO1164" s="509"/>
      <c r="AP1164" s="509"/>
      <c r="AQ1164" s="509"/>
      <c r="AR1164" s="509"/>
      <c r="AS1164" s="509"/>
      <c r="AT1164" s="25"/>
      <c r="AU1164" s="25"/>
      <c r="AV1164" s="25"/>
      <c r="AW1164" s="25"/>
      <c r="AX1164" s="25"/>
    </row>
    <row r="1165" spans="1:50" s="35" customFormat="1" ht="15" customHeight="1" x14ac:dyDescent="0.25">
      <c r="A1165" s="25"/>
      <c r="B1165" s="25"/>
      <c r="C1165" s="508">
        <v>65</v>
      </c>
      <c r="D1165" s="508"/>
      <c r="E1165" s="513" t="s">
        <v>1875</v>
      </c>
      <c r="F1165" s="513"/>
      <c r="G1165" s="513"/>
      <c r="H1165" s="513"/>
      <c r="I1165" s="513"/>
      <c r="J1165" s="512" t="s">
        <v>1576</v>
      </c>
      <c r="K1165" s="512"/>
      <c r="L1165" s="512"/>
      <c r="M1165" s="512"/>
      <c r="N1165" s="512"/>
      <c r="O1165" s="512"/>
      <c r="P1165" s="512"/>
      <c r="Q1165" s="512"/>
      <c r="R1165" s="512"/>
      <c r="S1165" s="512"/>
      <c r="T1165" s="512"/>
      <c r="U1165" s="512"/>
      <c r="V1165" s="512"/>
      <c r="W1165" s="512"/>
      <c r="X1165" s="512"/>
      <c r="Y1165" s="507" t="s">
        <v>1548</v>
      </c>
      <c r="Z1165" s="507"/>
      <c r="AA1165" s="507"/>
      <c r="AB1165" s="507" t="s">
        <v>1488</v>
      </c>
      <c r="AC1165" s="507"/>
      <c r="AD1165" s="507"/>
      <c r="AE1165" s="507">
        <v>200</v>
      </c>
      <c r="AF1165" s="507"/>
      <c r="AG1165" s="507"/>
      <c r="AH1165" s="507">
        <v>25</v>
      </c>
      <c r="AI1165" s="507"/>
      <c r="AJ1165" s="507"/>
      <c r="AK1165" s="507" t="s">
        <v>1490</v>
      </c>
      <c r="AL1165" s="507"/>
      <c r="AM1165" s="507"/>
      <c r="AN1165" s="509">
        <f>VLOOKUP(E1165,'Выгрузка из 1С'!$B$4:$K$2000,10,FALSE)</f>
        <v>20493</v>
      </c>
      <c r="AO1165" s="509"/>
      <c r="AP1165" s="509"/>
      <c r="AQ1165" s="509"/>
      <c r="AR1165" s="509"/>
      <c r="AS1165" s="509"/>
      <c r="AT1165" s="25"/>
      <c r="AU1165" s="25"/>
      <c r="AV1165" s="25"/>
      <c r="AW1165" s="25"/>
      <c r="AX1165" s="25"/>
    </row>
    <row r="1166" spans="1:50" s="35" customFormat="1" ht="15" customHeight="1" x14ac:dyDescent="0.25">
      <c r="A1166" s="25"/>
      <c r="B1166" s="25"/>
      <c r="C1166" s="508">
        <v>65</v>
      </c>
      <c r="D1166" s="508"/>
      <c r="E1166" s="513" t="s">
        <v>1852</v>
      </c>
      <c r="F1166" s="513"/>
      <c r="G1166" s="513"/>
      <c r="H1166" s="513"/>
      <c r="I1166" s="513"/>
      <c r="J1166" s="512" t="s">
        <v>1577</v>
      </c>
      <c r="K1166" s="512"/>
      <c r="L1166" s="512"/>
      <c r="M1166" s="512"/>
      <c r="N1166" s="512"/>
      <c r="O1166" s="512"/>
      <c r="P1166" s="512"/>
      <c r="Q1166" s="512"/>
      <c r="R1166" s="512"/>
      <c r="S1166" s="512"/>
      <c r="T1166" s="512"/>
      <c r="U1166" s="512"/>
      <c r="V1166" s="512"/>
      <c r="W1166" s="512"/>
      <c r="X1166" s="512"/>
      <c r="Y1166" s="507" t="s">
        <v>1548</v>
      </c>
      <c r="Z1166" s="507"/>
      <c r="AA1166" s="507"/>
      <c r="AB1166" s="507" t="s">
        <v>1488</v>
      </c>
      <c r="AC1166" s="507"/>
      <c r="AD1166" s="507"/>
      <c r="AE1166" s="507">
        <v>200</v>
      </c>
      <c r="AF1166" s="507"/>
      <c r="AG1166" s="507"/>
      <c r="AH1166" s="507">
        <v>40</v>
      </c>
      <c r="AI1166" s="507"/>
      <c r="AJ1166" s="507"/>
      <c r="AK1166" s="507" t="s">
        <v>1490</v>
      </c>
      <c r="AL1166" s="507"/>
      <c r="AM1166" s="507"/>
      <c r="AN1166" s="509">
        <f>VLOOKUP(E1166,'Выгрузка из 1С'!$B$4:$K$2000,10,FALSE)</f>
        <v>24150</v>
      </c>
      <c r="AO1166" s="509"/>
      <c r="AP1166" s="509"/>
      <c r="AQ1166" s="509"/>
      <c r="AR1166" s="509"/>
      <c r="AS1166" s="509"/>
      <c r="AT1166" s="25"/>
      <c r="AU1166" s="25"/>
      <c r="AV1166" s="25"/>
      <c r="AW1166" s="25"/>
      <c r="AX1166" s="25"/>
    </row>
    <row r="1167" spans="1:50" s="35" customFormat="1" ht="15" customHeight="1" x14ac:dyDescent="0.25">
      <c r="A1167" s="25"/>
      <c r="B1167" s="25"/>
      <c r="C1167" s="508">
        <v>80</v>
      </c>
      <c r="D1167" s="508"/>
      <c r="E1167" s="513" t="s">
        <v>1730</v>
      </c>
      <c r="F1167" s="513"/>
      <c r="G1167" s="513"/>
      <c r="H1167" s="513"/>
      <c r="I1167" s="513"/>
      <c r="J1167" s="512" t="s">
        <v>1578</v>
      </c>
      <c r="K1167" s="512"/>
      <c r="L1167" s="512"/>
      <c r="M1167" s="512"/>
      <c r="N1167" s="512"/>
      <c r="O1167" s="512"/>
      <c r="P1167" s="512"/>
      <c r="Q1167" s="512"/>
      <c r="R1167" s="512"/>
      <c r="S1167" s="512"/>
      <c r="T1167" s="512"/>
      <c r="U1167" s="512"/>
      <c r="V1167" s="512"/>
      <c r="W1167" s="512"/>
      <c r="X1167" s="512"/>
      <c r="Y1167" s="507" t="s">
        <v>1487</v>
      </c>
      <c r="Z1167" s="507"/>
      <c r="AA1167" s="507"/>
      <c r="AB1167" s="507" t="s">
        <v>1488</v>
      </c>
      <c r="AC1167" s="507"/>
      <c r="AD1167" s="507"/>
      <c r="AE1167" s="507">
        <v>225</v>
      </c>
      <c r="AF1167" s="507"/>
      <c r="AG1167" s="507"/>
      <c r="AH1167" s="507">
        <v>120</v>
      </c>
      <c r="AI1167" s="507"/>
      <c r="AJ1167" s="507"/>
      <c r="AK1167" s="507" t="s">
        <v>1490</v>
      </c>
      <c r="AL1167" s="507"/>
      <c r="AM1167" s="507"/>
      <c r="AN1167" s="509">
        <f>VLOOKUP(E1167,'Выгрузка из 1С'!$B$4:$K$2000,10,FALSE)</f>
        <v>34367.199999999997</v>
      </c>
      <c r="AO1167" s="509"/>
      <c r="AP1167" s="509"/>
      <c r="AQ1167" s="509"/>
      <c r="AR1167" s="509"/>
      <c r="AS1167" s="509"/>
      <c r="AT1167" s="25"/>
      <c r="AU1167" s="25"/>
      <c r="AV1167" s="25"/>
      <c r="AW1167" s="25"/>
      <c r="AX1167" s="25"/>
    </row>
    <row r="1168" spans="1:50" s="35" customFormat="1" ht="15" customHeight="1" x14ac:dyDescent="0.25">
      <c r="A1168" s="25"/>
      <c r="B1168" s="25"/>
      <c r="C1168" s="508">
        <v>80</v>
      </c>
      <c r="D1168" s="508"/>
      <c r="E1168" s="513" t="s">
        <v>1729</v>
      </c>
      <c r="F1168" s="513"/>
      <c r="G1168" s="513"/>
      <c r="H1168" s="513"/>
      <c r="I1168" s="513"/>
      <c r="J1168" s="512" t="s">
        <v>1579</v>
      </c>
      <c r="K1168" s="512"/>
      <c r="L1168" s="512"/>
      <c r="M1168" s="512"/>
      <c r="N1168" s="512"/>
      <c r="O1168" s="512"/>
      <c r="P1168" s="512"/>
      <c r="Q1168" s="512"/>
      <c r="R1168" s="512"/>
      <c r="S1168" s="512"/>
      <c r="T1168" s="512"/>
      <c r="U1168" s="512"/>
      <c r="V1168" s="512"/>
      <c r="W1168" s="512"/>
      <c r="X1168" s="512"/>
      <c r="Y1168" s="507" t="s">
        <v>1487</v>
      </c>
      <c r="Z1168" s="507"/>
      <c r="AA1168" s="507"/>
      <c r="AB1168" s="507" t="s">
        <v>1488</v>
      </c>
      <c r="AC1168" s="507"/>
      <c r="AD1168" s="507"/>
      <c r="AE1168" s="507">
        <v>225</v>
      </c>
      <c r="AF1168" s="507"/>
      <c r="AG1168" s="507"/>
      <c r="AH1168" s="507">
        <v>120</v>
      </c>
      <c r="AI1168" s="507"/>
      <c r="AJ1168" s="507"/>
      <c r="AK1168" s="507" t="s">
        <v>1490</v>
      </c>
      <c r="AL1168" s="507"/>
      <c r="AM1168" s="507"/>
      <c r="AN1168" s="509">
        <f>VLOOKUP(E1168,'Выгрузка из 1С'!$B$4:$K$2000,10,FALSE)</f>
        <v>36143.800000000003</v>
      </c>
      <c r="AO1168" s="509"/>
      <c r="AP1168" s="509"/>
      <c r="AQ1168" s="509"/>
      <c r="AR1168" s="509"/>
      <c r="AS1168" s="509"/>
      <c r="AT1168" s="25"/>
      <c r="AU1168" s="25"/>
      <c r="AV1168" s="25"/>
      <c r="AW1168" s="25"/>
      <c r="AX1168" s="25"/>
    </row>
    <row r="1169" spans="1:50" s="35" customFormat="1" ht="15" customHeight="1" x14ac:dyDescent="0.25">
      <c r="A1169" s="25"/>
      <c r="B1169" s="25"/>
      <c r="C1169" s="508">
        <v>80</v>
      </c>
      <c r="D1169" s="508"/>
      <c r="E1169" s="513" t="s">
        <v>1873</v>
      </c>
      <c r="F1169" s="513"/>
      <c r="G1169" s="513"/>
      <c r="H1169" s="513"/>
      <c r="I1169" s="513"/>
      <c r="J1169" s="512" t="s">
        <v>1580</v>
      </c>
      <c r="K1169" s="512"/>
      <c r="L1169" s="512"/>
      <c r="M1169" s="512"/>
      <c r="N1169" s="512"/>
      <c r="O1169" s="512"/>
      <c r="P1169" s="512"/>
      <c r="Q1169" s="512"/>
      <c r="R1169" s="512"/>
      <c r="S1169" s="512"/>
      <c r="T1169" s="512"/>
      <c r="U1169" s="512"/>
      <c r="V1169" s="512"/>
      <c r="W1169" s="512"/>
      <c r="X1169" s="512"/>
      <c r="Y1169" s="507" t="s">
        <v>1548</v>
      </c>
      <c r="Z1169" s="507"/>
      <c r="AA1169" s="507"/>
      <c r="AB1169" s="507" t="s">
        <v>1488</v>
      </c>
      <c r="AC1169" s="507"/>
      <c r="AD1169" s="507"/>
      <c r="AE1169" s="507">
        <v>225</v>
      </c>
      <c r="AF1169" s="507"/>
      <c r="AG1169" s="507"/>
      <c r="AH1169" s="507">
        <v>40</v>
      </c>
      <c r="AI1169" s="507"/>
      <c r="AJ1169" s="507"/>
      <c r="AK1169" s="507" t="s">
        <v>1490</v>
      </c>
      <c r="AL1169" s="507"/>
      <c r="AM1169" s="507"/>
      <c r="AN1169" s="509">
        <f>VLOOKUP(E1169,'Выгрузка из 1С'!$B$4:$K$2000,10,FALSE)</f>
        <v>19109</v>
      </c>
      <c r="AO1169" s="509"/>
      <c r="AP1169" s="509"/>
      <c r="AQ1169" s="509"/>
      <c r="AR1169" s="509"/>
      <c r="AS1169" s="509"/>
      <c r="AT1169" s="25"/>
      <c r="AU1169" s="25"/>
      <c r="AV1169" s="25"/>
      <c r="AW1169" s="25"/>
      <c r="AX1169" s="25"/>
    </row>
    <row r="1170" spans="1:50" s="35" customFormat="1" ht="15" customHeight="1" x14ac:dyDescent="0.25">
      <c r="A1170" s="25"/>
      <c r="B1170" s="25"/>
      <c r="C1170" s="508">
        <v>80</v>
      </c>
      <c r="D1170" s="508"/>
      <c r="E1170" s="513" t="s">
        <v>1851</v>
      </c>
      <c r="F1170" s="513"/>
      <c r="G1170" s="513"/>
      <c r="H1170" s="513"/>
      <c r="I1170" s="513"/>
      <c r="J1170" s="512" t="s">
        <v>1581</v>
      </c>
      <c r="K1170" s="512"/>
      <c r="L1170" s="512"/>
      <c r="M1170" s="512"/>
      <c r="N1170" s="512"/>
      <c r="O1170" s="512"/>
      <c r="P1170" s="512"/>
      <c r="Q1170" s="512"/>
      <c r="R1170" s="512"/>
      <c r="S1170" s="512"/>
      <c r="T1170" s="512"/>
      <c r="U1170" s="512"/>
      <c r="V1170" s="512"/>
      <c r="W1170" s="512"/>
      <c r="X1170" s="512"/>
      <c r="Y1170" s="507" t="s">
        <v>1548</v>
      </c>
      <c r="Z1170" s="507"/>
      <c r="AA1170" s="507"/>
      <c r="AB1170" s="507" t="s">
        <v>1488</v>
      </c>
      <c r="AC1170" s="507"/>
      <c r="AD1170" s="507"/>
      <c r="AE1170" s="507">
        <v>225</v>
      </c>
      <c r="AF1170" s="507"/>
      <c r="AG1170" s="507"/>
      <c r="AH1170" s="507">
        <v>63</v>
      </c>
      <c r="AI1170" s="507"/>
      <c r="AJ1170" s="507"/>
      <c r="AK1170" s="507" t="s">
        <v>1490</v>
      </c>
      <c r="AL1170" s="507"/>
      <c r="AM1170" s="507"/>
      <c r="AN1170" s="509">
        <f>VLOOKUP(E1170,'Выгрузка из 1С'!$B$4:$K$2000,10,FALSE)</f>
        <v>23380</v>
      </c>
      <c r="AO1170" s="509"/>
      <c r="AP1170" s="509"/>
      <c r="AQ1170" s="509"/>
      <c r="AR1170" s="509"/>
      <c r="AS1170" s="509"/>
      <c r="AT1170" s="25"/>
      <c r="AU1170" s="25"/>
      <c r="AV1170" s="25"/>
      <c r="AW1170" s="25"/>
      <c r="AX1170" s="25"/>
    </row>
    <row r="1171" spans="1:50" s="35" customFormat="1" ht="15" customHeight="1" x14ac:dyDescent="0.25">
      <c r="A1171" s="25"/>
      <c r="B1171" s="25"/>
      <c r="C1171" s="508">
        <v>80</v>
      </c>
      <c r="D1171" s="508"/>
      <c r="E1171" s="513" t="s">
        <v>1720</v>
      </c>
      <c r="F1171" s="513"/>
      <c r="G1171" s="513"/>
      <c r="H1171" s="513"/>
      <c r="I1171" s="513"/>
      <c r="J1171" s="512" t="s">
        <v>1582</v>
      </c>
      <c r="K1171" s="512"/>
      <c r="L1171" s="512"/>
      <c r="M1171" s="512"/>
      <c r="N1171" s="512"/>
      <c r="O1171" s="512"/>
      <c r="P1171" s="512"/>
      <c r="Q1171" s="512"/>
      <c r="R1171" s="512"/>
      <c r="S1171" s="512"/>
      <c r="T1171" s="512"/>
      <c r="U1171" s="512"/>
      <c r="V1171" s="512"/>
      <c r="W1171" s="512"/>
      <c r="X1171" s="512"/>
      <c r="Y1171" s="507" t="s">
        <v>1487</v>
      </c>
      <c r="Z1171" s="507"/>
      <c r="AA1171" s="507"/>
      <c r="AB1171" s="507" t="s">
        <v>1488</v>
      </c>
      <c r="AC1171" s="507"/>
      <c r="AD1171" s="507"/>
      <c r="AE1171" s="507">
        <v>225</v>
      </c>
      <c r="AF1171" s="507"/>
      <c r="AG1171" s="507"/>
      <c r="AH1171" s="507">
        <v>120</v>
      </c>
      <c r="AI1171" s="507"/>
      <c r="AJ1171" s="507"/>
      <c r="AK1171" s="507" t="s">
        <v>1490</v>
      </c>
      <c r="AL1171" s="507"/>
      <c r="AM1171" s="507"/>
      <c r="AN1171" s="509">
        <f>VLOOKUP(E1171,'Выгрузка из 1С'!$B$4:$K$2000,10,FALSE)</f>
        <v>36395.800000000003</v>
      </c>
      <c r="AO1171" s="509"/>
      <c r="AP1171" s="509"/>
      <c r="AQ1171" s="509"/>
      <c r="AR1171" s="509"/>
      <c r="AS1171" s="509"/>
      <c r="AT1171" s="25"/>
      <c r="AU1171" s="25"/>
      <c r="AV1171" s="25"/>
      <c r="AW1171" s="25"/>
      <c r="AX1171" s="25"/>
    </row>
    <row r="1172" spans="1:50" s="35" customFormat="1" ht="15" customHeight="1" x14ac:dyDescent="0.25">
      <c r="A1172" s="25"/>
      <c r="B1172" s="25"/>
      <c r="C1172" s="508">
        <v>80</v>
      </c>
      <c r="D1172" s="508"/>
      <c r="E1172" s="513" t="s">
        <v>1691</v>
      </c>
      <c r="F1172" s="513"/>
      <c r="G1172" s="513"/>
      <c r="H1172" s="513"/>
      <c r="I1172" s="513"/>
      <c r="J1172" s="512" t="s">
        <v>1583</v>
      </c>
      <c r="K1172" s="512"/>
      <c r="L1172" s="512"/>
      <c r="M1172" s="512"/>
      <c r="N1172" s="512"/>
      <c r="O1172" s="512"/>
      <c r="P1172" s="512"/>
      <c r="Q1172" s="512"/>
      <c r="R1172" s="512"/>
      <c r="S1172" s="512"/>
      <c r="T1172" s="512"/>
      <c r="U1172" s="512"/>
      <c r="V1172" s="512"/>
      <c r="W1172" s="512"/>
      <c r="X1172" s="512"/>
      <c r="Y1172" s="507" t="s">
        <v>1487</v>
      </c>
      <c r="Z1172" s="507"/>
      <c r="AA1172" s="507"/>
      <c r="AB1172" s="507" t="s">
        <v>1488</v>
      </c>
      <c r="AC1172" s="507"/>
      <c r="AD1172" s="507"/>
      <c r="AE1172" s="507">
        <v>225</v>
      </c>
      <c r="AF1172" s="507"/>
      <c r="AG1172" s="507"/>
      <c r="AH1172" s="507">
        <v>120</v>
      </c>
      <c r="AI1172" s="507"/>
      <c r="AJ1172" s="507"/>
      <c r="AK1172" s="507" t="s">
        <v>1490</v>
      </c>
      <c r="AL1172" s="507"/>
      <c r="AM1172" s="507"/>
      <c r="AN1172" s="509">
        <f>VLOOKUP(E1172,'Выгрузка из 1С'!$B$4:$K$2000,10,FALSE)</f>
        <v>38172.400000000001</v>
      </c>
      <c r="AO1172" s="509"/>
      <c r="AP1172" s="509"/>
      <c r="AQ1172" s="509"/>
      <c r="AR1172" s="509"/>
      <c r="AS1172" s="509"/>
      <c r="AT1172" s="25"/>
      <c r="AU1172" s="25"/>
      <c r="AV1172" s="25"/>
      <c r="AW1172" s="25"/>
      <c r="AX1172" s="25"/>
    </row>
    <row r="1173" spans="1:50" s="35" customFormat="1" ht="15" customHeight="1" x14ac:dyDescent="0.25">
      <c r="A1173" s="25"/>
      <c r="B1173" s="25"/>
      <c r="C1173" s="508">
        <v>80</v>
      </c>
      <c r="D1173" s="508"/>
      <c r="E1173" s="513" t="s">
        <v>1872</v>
      </c>
      <c r="F1173" s="513"/>
      <c r="G1173" s="513"/>
      <c r="H1173" s="513"/>
      <c r="I1173" s="513"/>
      <c r="J1173" s="512" t="s">
        <v>1584</v>
      </c>
      <c r="K1173" s="512"/>
      <c r="L1173" s="512"/>
      <c r="M1173" s="512"/>
      <c r="N1173" s="512"/>
      <c r="O1173" s="512"/>
      <c r="P1173" s="512"/>
      <c r="Q1173" s="512"/>
      <c r="R1173" s="512"/>
      <c r="S1173" s="512"/>
      <c r="T1173" s="512"/>
      <c r="U1173" s="512"/>
      <c r="V1173" s="512"/>
      <c r="W1173" s="512"/>
      <c r="X1173" s="512"/>
      <c r="Y1173" s="507" t="s">
        <v>1548</v>
      </c>
      <c r="Z1173" s="507"/>
      <c r="AA1173" s="507"/>
      <c r="AB1173" s="507" t="s">
        <v>1488</v>
      </c>
      <c r="AC1173" s="507"/>
      <c r="AD1173" s="507"/>
      <c r="AE1173" s="507">
        <v>225</v>
      </c>
      <c r="AF1173" s="507"/>
      <c r="AG1173" s="507"/>
      <c r="AH1173" s="507">
        <v>40</v>
      </c>
      <c r="AI1173" s="507"/>
      <c r="AJ1173" s="507"/>
      <c r="AK1173" s="507" t="s">
        <v>1490</v>
      </c>
      <c r="AL1173" s="507"/>
      <c r="AM1173" s="507"/>
      <c r="AN1173" s="509">
        <f>VLOOKUP(E1173,'Выгрузка из 1С'!$B$4:$K$2000,10,FALSE)</f>
        <v>21447</v>
      </c>
      <c r="AO1173" s="509"/>
      <c r="AP1173" s="509"/>
      <c r="AQ1173" s="509"/>
      <c r="AR1173" s="509"/>
      <c r="AS1173" s="509"/>
      <c r="AT1173" s="25"/>
      <c r="AU1173" s="25"/>
      <c r="AV1173" s="25"/>
      <c r="AW1173" s="25"/>
      <c r="AX1173" s="25"/>
    </row>
    <row r="1174" spans="1:50" s="35" customFormat="1" ht="15" customHeight="1" x14ac:dyDescent="0.25">
      <c r="A1174" s="25"/>
      <c r="B1174" s="25"/>
      <c r="C1174" s="508">
        <v>80</v>
      </c>
      <c r="D1174" s="508"/>
      <c r="E1174" s="513" t="s">
        <v>1850</v>
      </c>
      <c r="F1174" s="513"/>
      <c r="G1174" s="513"/>
      <c r="H1174" s="513"/>
      <c r="I1174" s="513"/>
      <c r="J1174" s="512" t="s">
        <v>1585</v>
      </c>
      <c r="K1174" s="512"/>
      <c r="L1174" s="512"/>
      <c r="M1174" s="512"/>
      <c r="N1174" s="512"/>
      <c r="O1174" s="512"/>
      <c r="P1174" s="512"/>
      <c r="Q1174" s="512"/>
      <c r="R1174" s="512"/>
      <c r="S1174" s="512"/>
      <c r="T1174" s="512"/>
      <c r="U1174" s="512"/>
      <c r="V1174" s="512"/>
      <c r="W1174" s="512"/>
      <c r="X1174" s="512"/>
      <c r="Y1174" s="507" t="s">
        <v>1548</v>
      </c>
      <c r="Z1174" s="507"/>
      <c r="AA1174" s="507"/>
      <c r="AB1174" s="507" t="s">
        <v>1488</v>
      </c>
      <c r="AC1174" s="507"/>
      <c r="AD1174" s="507"/>
      <c r="AE1174" s="507">
        <v>225</v>
      </c>
      <c r="AF1174" s="507"/>
      <c r="AG1174" s="507"/>
      <c r="AH1174" s="507">
        <v>63</v>
      </c>
      <c r="AI1174" s="507"/>
      <c r="AJ1174" s="507"/>
      <c r="AK1174" s="507" t="s">
        <v>1490</v>
      </c>
      <c r="AL1174" s="507"/>
      <c r="AM1174" s="507"/>
      <c r="AN1174" s="509">
        <f>VLOOKUP(E1174,'Выгрузка из 1С'!$B$4:$K$2000,10,FALSE)</f>
        <v>26180</v>
      </c>
      <c r="AO1174" s="509"/>
      <c r="AP1174" s="509"/>
      <c r="AQ1174" s="509"/>
      <c r="AR1174" s="509"/>
      <c r="AS1174" s="509"/>
      <c r="AT1174" s="25"/>
      <c r="AU1174" s="25"/>
      <c r="AV1174" s="25"/>
      <c r="AW1174" s="25"/>
      <c r="AX1174" s="25"/>
    </row>
    <row r="1175" spans="1:50" s="35" customFormat="1" ht="15" customHeight="1" x14ac:dyDescent="0.25">
      <c r="A1175" s="25"/>
      <c r="B1175" s="25"/>
      <c r="C1175" s="508">
        <v>80</v>
      </c>
      <c r="D1175" s="508"/>
      <c r="E1175" s="513" t="s">
        <v>1813</v>
      </c>
      <c r="F1175" s="513"/>
      <c r="G1175" s="513"/>
      <c r="H1175" s="513"/>
      <c r="I1175" s="513"/>
      <c r="J1175" s="512" t="s">
        <v>1586</v>
      </c>
      <c r="K1175" s="512"/>
      <c r="L1175" s="512"/>
      <c r="M1175" s="512"/>
      <c r="N1175" s="512"/>
      <c r="O1175" s="512"/>
      <c r="P1175" s="512"/>
      <c r="Q1175" s="512"/>
      <c r="R1175" s="512"/>
      <c r="S1175" s="512"/>
      <c r="T1175" s="512"/>
      <c r="U1175" s="512"/>
      <c r="V1175" s="512"/>
      <c r="W1175" s="512"/>
      <c r="X1175" s="512"/>
      <c r="Y1175" s="507" t="s">
        <v>1548</v>
      </c>
      <c r="Z1175" s="507"/>
      <c r="AA1175" s="507"/>
      <c r="AB1175" s="507" t="s">
        <v>1488</v>
      </c>
      <c r="AC1175" s="507"/>
      <c r="AD1175" s="507"/>
      <c r="AE1175" s="507">
        <v>225</v>
      </c>
      <c r="AF1175" s="507"/>
      <c r="AG1175" s="507"/>
      <c r="AH1175" s="507">
        <v>63</v>
      </c>
      <c r="AI1175" s="507"/>
      <c r="AJ1175" s="507"/>
      <c r="AK1175" s="507" t="s">
        <v>1490</v>
      </c>
      <c r="AL1175" s="507"/>
      <c r="AM1175" s="507"/>
      <c r="AN1175" s="509">
        <f>VLOOKUP(E1175,'Выгрузка из 1С'!$B$4:$K$2000,10,FALSE)</f>
        <v>26180</v>
      </c>
      <c r="AO1175" s="509"/>
      <c r="AP1175" s="509"/>
      <c r="AQ1175" s="509"/>
      <c r="AR1175" s="509"/>
      <c r="AS1175" s="509"/>
      <c r="AT1175" s="25"/>
      <c r="AU1175" s="25"/>
      <c r="AV1175" s="25"/>
      <c r="AW1175" s="25"/>
      <c r="AX1175" s="25"/>
    </row>
    <row r="1176" spans="1:50" s="35" customFormat="1" ht="15" customHeight="1" x14ac:dyDescent="0.25">
      <c r="A1176" s="25"/>
      <c r="B1176" s="25"/>
      <c r="C1176" s="508">
        <v>100</v>
      </c>
      <c r="D1176" s="508"/>
      <c r="E1176" s="513" t="s">
        <v>1752</v>
      </c>
      <c r="F1176" s="513"/>
      <c r="G1176" s="513"/>
      <c r="H1176" s="513"/>
      <c r="I1176" s="513"/>
      <c r="J1176" s="512" t="s">
        <v>1587</v>
      </c>
      <c r="K1176" s="512"/>
      <c r="L1176" s="512"/>
      <c r="M1176" s="512"/>
      <c r="N1176" s="512"/>
      <c r="O1176" s="512"/>
      <c r="P1176" s="512"/>
      <c r="Q1176" s="512"/>
      <c r="R1176" s="512"/>
      <c r="S1176" s="512"/>
      <c r="T1176" s="512"/>
      <c r="U1176" s="512"/>
      <c r="V1176" s="512"/>
      <c r="W1176" s="512"/>
      <c r="X1176" s="512"/>
      <c r="Y1176" s="507" t="s">
        <v>1487</v>
      </c>
      <c r="Z1176" s="507"/>
      <c r="AA1176" s="507"/>
      <c r="AB1176" s="507" t="s">
        <v>1488</v>
      </c>
      <c r="AC1176" s="507"/>
      <c r="AD1176" s="507"/>
      <c r="AE1176" s="507">
        <v>250</v>
      </c>
      <c r="AF1176" s="507"/>
      <c r="AG1176" s="507"/>
      <c r="AH1176" s="507">
        <v>230</v>
      </c>
      <c r="AI1176" s="507"/>
      <c r="AJ1176" s="507"/>
      <c r="AK1176" s="507" t="s">
        <v>1490</v>
      </c>
      <c r="AL1176" s="507"/>
      <c r="AM1176" s="507"/>
      <c r="AN1176" s="509">
        <f>VLOOKUP(E1176,'Выгрузка из 1С'!$B$4:$K$2000,10,FALSE)</f>
        <v>36628.199999999997</v>
      </c>
      <c r="AO1176" s="509"/>
      <c r="AP1176" s="509"/>
      <c r="AQ1176" s="509"/>
      <c r="AR1176" s="509"/>
      <c r="AS1176" s="509"/>
      <c r="AT1176" s="25"/>
      <c r="AU1176" s="25"/>
      <c r="AV1176" s="25"/>
      <c r="AW1176" s="25"/>
      <c r="AX1176" s="25"/>
    </row>
    <row r="1177" spans="1:50" s="35" customFormat="1" ht="15" customHeight="1" x14ac:dyDescent="0.25">
      <c r="A1177" s="25"/>
      <c r="B1177" s="25"/>
      <c r="C1177" s="508">
        <v>100</v>
      </c>
      <c r="D1177" s="508"/>
      <c r="E1177" s="513" t="s">
        <v>1751</v>
      </c>
      <c r="F1177" s="513"/>
      <c r="G1177" s="513"/>
      <c r="H1177" s="513"/>
      <c r="I1177" s="513"/>
      <c r="J1177" s="512" t="s">
        <v>1588</v>
      </c>
      <c r="K1177" s="512"/>
      <c r="L1177" s="512"/>
      <c r="M1177" s="512"/>
      <c r="N1177" s="512"/>
      <c r="O1177" s="512"/>
      <c r="P1177" s="512"/>
      <c r="Q1177" s="512"/>
      <c r="R1177" s="512"/>
      <c r="S1177" s="512"/>
      <c r="T1177" s="512"/>
      <c r="U1177" s="512"/>
      <c r="V1177" s="512"/>
      <c r="W1177" s="512"/>
      <c r="X1177" s="512"/>
      <c r="Y1177" s="507" t="s">
        <v>1487</v>
      </c>
      <c r="Z1177" s="507"/>
      <c r="AA1177" s="507"/>
      <c r="AB1177" s="507" t="s">
        <v>1488</v>
      </c>
      <c r="AC1177" s="507"/>
      <c r="AD1177" s="507"/>
      <c r="AE1177" s="507">
        <v>250</v>
      </c>
      <c r="AF1177" s="507"/>
      <c r="AG1177" s="507"/>
      <c r="AH1177" s="507">
        <v>230</v>
      </c>
      <c r="AI1177" s="507"/>
      <c r="AJ1177" s="507"/>
      <c r="AK1177" s="507" t="s">
        <v>1490</v>
      </c>
      <c r="AL1177" s="507"/>
      <c r="AM1177" s="507"/>
      <c r="AN1177" s="509">
        <f>VLOOKUP(E1177,'Выгрузка из 1С'!$B$4:$K$2000,10,FALSE)</f>
        <v>38404.800000000003</v>
      </c>
      <c r="AO1177" s="509"/>
      <c r="AP1177" s="509"/>
      <c r="AQ1177" s="509"/>
      <c r="AR1177" s="509"/>
      <c r="AS1177" s="509"/>
      <c r="AT1177" s="25"/>
      <c r="AU1177" s="25"/>
      <c r="AV1177" s="25"/>
      <c r="AW1177" s="25"/>
      <c r="AX1177" s="25"/>
    </row>
    <row r="1178" spans="1:50" s="35" customFormat="1" ht="15" customHeight="1" x14ac:dyDescent="0.25">
      <c r="A1178" s="25"/>
      <c r="B1178" s="25"/>
      <c r="C1178" s="508">
        <v>100</v>
      </c>
      <c r="D1178" s="508"/>
      <c r="E1178" s="513" t="s">
        <v>1870</v>
      </c>
      <c r="F1178" s="513"/>
      <c r="G1178" s="513"/>
      <c r="H1178" s="513"/>
      <c r="I1178" s="513"/>
      <c r="J1178" s="512" t="s">
        <v>1589</v>
      </c>
      <c r="K1178" s="512"/>
      <c r="L1178" s="512"/>
      <c r="M1178" s="512"/>
      <c r="N1178" s="512"/>
      <c r="O1178" s="512"/>
      <c r="P1178" s="512"/>
      <c r="Q1178" s="512"/>
      <c r="R1178" s="512"/>
      <c r="S1178" s="512"/>
      <c r="T1178" s="512"/>
      <c r="U1178" s="512"/>
      <c r="V1178" s="512"/>
      <c r="W1178" s="512"/>
      <c r="X1178" s="512"/>
      <c r="Y1178" s="507" t="s">
        <v>1548</v>
      </c>
      <c r="Z1178" s="507"/>
      <c r="AA1178" s="507"/>
      <c r="AB1178" s="507" t="s">
        <v>1488</v>
      </c>
      <c r="AC1178" s="507"/>
      <c r="AD1178" s="507"/>
      <c r="AE1178" s="507">
        <v>250</v>
      </c>
      <c r="AF1178" s="507"/>
      <c r="AG1178" s="507"/>
      <c r="AH1178" s="507">
        <v>60</v>
      </c>
      <c r="AI1178" s="507"/>
      <c r="AJ1178" s="507"/>
      <c r="AK1178" s="507" t="s">
        <v>1490</v>
      </c>
      <c r="AL1178" s="507"/>
      <c r="AM1178" s="507"/>
      <c r="AN1178" s="509">
        <f>VLOOKUP(E1178,'Выгрузка из 1С'!$B$4:$K$2000,10,FALSE)</f>
        <v>20775</v>
      </c>
      <c r="AO1178" s="509"/>
      <c r="AP1178" s="509"/>
      <c r="AQ1178" s="509"/>
      <c r="AR1178" s="509"/>
      <c r="AS1178" s="509"/>
      <c r="AT1178" s="25"/>
      <c r="AU1178" s="25"/>
      <c r="AV1178" s="25"/>
      <c r="AW1178" s="25"/>
      <c r="AX1178" s="25"/>
    </row>
    <row r="1179" spans="1:50" s="35" customFormat="1" ht="15" customHeight="1" x14ac:dyDescent="0.25">
      <c r="A1179" s="25"/>
      <c r="B1179" s="25"/>
      <c r="C1179" s="508">
        <v>100</v>
      </c>
      <c r="D1179" s="508"/>
      <c r="E1179" s="513" t="s">
        <v>1849</v>
      </c>
      <c r="F1179" s="513"/>
      <c r="G1179" s="513"/>
      <c r="H1179" s="513"/>
      <c r="I1179" s="513"/>
      <c r="J1179" s="512" t="s">
        <v>1590</v>
      </c>
      <c r="K1179" s="512"/>
      <c r="L1179" s="512"/>
      <c r="M1179" s="512"/>
      <c r="N1179" s="512"/>
      <c r="O1179" s="512"/>
      <c r="P1179" s="512"/>
      <c r="Q1179" s="512"/>
      <c r="R1179" s="512"/>
      <c r="S1179" s="512"/>
      <c r="T1179" s="512"/>
      <c r="U1179" s="512"/>
      <c r="V1179" s="512"/>
      <c r="W1179" s="512"/>
      <c r="X1179" s="512"/>
      <c r="Y1179" s="507" t="s">
        <v>1548</v>
      </c>
      <c r="Z1179" s="507"/>
      <c r="AA1179" s="507"/>
      <c r="AB1179" s="507" t="s">
        <v>1488</v>
      </c>
      <c r="AC1179" s="507"/>
      <c r="AD1179" s="507"/>
      <c r="AE1179" s="507">
        <v>250</v>
      </c>
      <c r="AF1179" s="507"/>
      <c r="AG1179" s="507"/>
      <c r="AH1179" s="507">
        <v>100</v>
      </c>
      <c r="AI1179" s="507"/>
      <c r="AJ1179" s="507"/>
      <c r="AK1179" s="507" t="s">
        <v>1490</v>
      </c>
      <c r="AL1179" s="507"/>
      <c r="AM1179" s="507"/>
      <c r="AN1179" s="509">
        <f>VLOOKUP(E1179,'Выгрузка из 1С'!$B$4:$K$2000,10,FALSE)</f>
        <v>25900</v>
      </c>
      <c r="AO1179" s="509"/>
      <c r="AP1179" s="509"/>
      <c r="AQ1179" s="509"/>
      <c r="AR1179" s="509"/>
      <c r="AS1179" s="509"/>
      <c r="AT1179" s="25"/>
      <c r="AU1179" s="25"/>
      <c r="AV1179" s="25"/>
      <c r="AW1179" s="25"/>
      <c r="AX1179" s="25"/>
    </row>
    <row r="1180" spans="1:50" s="35" customFormat="1" ht="15" customHeight="1" x14ac:dyDescent="0.25">
      <c r="A1180" s="25"/>
      <c r="B1180" s="25"/>
      <c r="C1180" s="508">
        <v>100</v>
      </c>
      <c r="D1180" s="508"/>
      <c r="E1180" s="513" t="s">
        <v>1728</v>
      </c>
      <c r="F1180" s="513"/>
      <c r="G1180" s="513"/>
      <c r="H1180" s="513"/>
      <c r="I1180" s="513"/>
      <c r="J1180" s="512" t="s">
        <v>1591</v>
      </c>
      <c r="K1180" s="512"/>
      <c r="L1180" s="512"/>
      <c r="M1180" s="512"/>
      <c r="N1180" s="512"/>
      <c r="O1180" s="512"/>
      <c r="P1180" s="512"/>
      <c r="Q1180" s="512"/>
      <c r="R1180" s="512"/>
      <c r="S1180" s="512"/>
      <c r="T1180" s="512"/>
      <c r="U1180" s="512"/>
      <c r="V1180" s="512"/>
      <c r="W1180" s="512"/>
      <c r="X1180" s="512"/>
      <c r="Y1180" s="507" t="s">
        <v>1487</v>
      </c>
      <c r="Z1180" s="507"/>
      <c r="AA1180" s="507"/>
      <c r="AB1180" s="507" t="s">
        <v>1488</v>
      </c>
      <c r="AC1180" s="507"/>
      <c r="AD1180" s="507"/>
      <c r="AE1180" s="507">
        <v>250</v>
      </c>
      <c r="AF1180" s="507"/>
      <c r="AG1180" s="507"/>
      <c r="AH1180" s="507">
        <v>230</v>
      </c>
      <c r="AI1180" s="507"/>
      <c r="AJ1180" s="507"/>
      <c r="AK1180" s="507" t="s">
        <v>1490</v>
      </c>
      <c r="AL1180" s="507"/>
      <c r="AM1180" s="507"/>
      <c r="AN1180" s="509">
        <f>VLOOKUP(E1180,'Выгрузка из 1С'!$B$4:$K$2000,10,FALSE)</f>
        <v>39768.400000000001</v>
      </c>
      <c r="AO1180" s="509"/>
      <c r="AP1180" s="509"/>
      <c r="AQ1180" s="509"/>
      <c r="AR1180" s="509"/>
      <c r="AS1180" s="509"/>
      <c r="AT1180" s="25"/>
      <c r="AU1180" s="25"/>
      <c r="AV1180" s="25"/>
      <c r="AW1180" s="25"/>
      <c r="AX1180" s="25"/>
    </row>
    <row r="1181" spans="1:50" s="35" customFormat="1" ht="15" customHeight="1" x14ac:dyDescent="0.25">
      <c r="A1181" s="25"/>
      <c r="B1181" s="25"/>
      <c r="C1181" s="508">
        <v>100</v>
      </c>
      <c r="D1181" s="508"/>
      <c r="E1181" s="513" t="s">
        <v>1700</v>
      </c>
      <c r="F1181" s="513"/>
      <c r="G1181" s="513"/>
      <c r="H1181" s="513"/>
      <c r="I1181" s="513"/>
      <c r="J1181" s="512" t="s">
        <v>1592</v>
      </c>
      <c r="K1181" s="512"/>
      <c r="L1181" s="512"/>
      <c r="M1181" s="512"/>
      <c r="N1181" s="512"/>
      <c r="O1181" s="512"/>
      <c r="P1181" s="512"/>
      <c r="Q1181" s="512"/>
      <c r="R1181" s="512"/>
      <c r="S1181" s="512"/>
      <c r="T1181" s="512"/>
      <c r="U1181" s="512"/>
      <c r="V1181" s="512"/>
      <c r="W1181" s="512"/>
      <c r="X1181" s="512"/>
      <c r="Y1181" s="507" t="s">
        <v>1487</v>
      </c>
      <c r="Z1181" s="507"/>
      <c r="AA1181" s="507"/>
      <c r="AB1181" s="507" t="s">
        <v>1488</v>
      </c>
      <c r="AC1181" s="507"/>
      <c r="AD1181" s="507"/>
      <c r="AE1181" s="507">
        <v>250</v>
      </c>
      <c r="AF1181" s="507"/>
      <c r="AG1181" s="507"/>
      <c r="AH1181" s="507">
        <v>230</v>
      </c>
      <c r="AI1181" s="507"/>
      <c r="AJ1181" s="507"/>
      <c r="AK1181" s="507" t="s">
        <v>1490</v>
      </c>
      <c r="AL1181" s="507"/>
      <c r="AM1181" s="507"/>
      <c r="AN1181" s="509">
        <f>VLOOKUP(E1181,'Выгрузка из 1С'!$B$4:$K$2000,10,FALSE)</f>
        <v>41545</v>
      </c>
      <c r="AO1181" s="509"/>
      <c r="AP1181" s="509"/>
      <c r="AQ1181" s="509"/>
      <c r="AR1181" s="509"/>
      <c r="AS1181" s="509"/>
      <c r="AT1181" s="25"/>
      <c r="AU1181" s="25"/>
      <c r="AV1181" s="25"/>
      <c r="AW1181" s="25"/>
      <c r="AX1181" s="25"/>
    </row>
    <row r="1182" spans="1:50" s="35" customFormat="1" ht="15" customHeight="1" x14ac:dyDescent="0.25">
      <c r="A1182" s="25"/>
      <c r="B1182" s="25"/>
      <c r="C1182" s="508">
        <v>100</v>
      </c>
      <c r="D1182" s="508"/>
      <c r="E1182" s="513" t="s">
        <v>1869</v>
      </c>
      <c r="F1182" s="513"/>
      <c r="G1182" s="513"/>
      <c r="H1182" s="513"/>
      <c r="I1182" s="513"/>
      <c r="J1182" s="512" t="s">
        <v>1593</v>
      </c>
      <c r="K1182" s="512"/>
      <c r="L1182" s="512"/>
      <c r="M1182" s="512"/>
      <c r="N1182" s="512"/>
      <c r="O1182" s="512"/>
      <c r="P1182" s="512"/>
      <c r="Q1182" s="512"/>
      <c r="R1182" s="512"/>
      <c r="S1182" s="512"/>
      <c r="T1182" s="512"/>
      <c r="U1182" s="512"/>
      <c r="V1182" s="512"/>
      <c r="W1182" s="512"/>
      <c r="X1182" s="512"/>
      <c r="Y1182" s="507" t="s">
        <v>1548</v>
      </c>
      <c r="Z1182" s="507"/>
      <c r="AA1182" s="507"/>
      <c r="AB1182" s="507" t="s">
        <v>1488</v>
      </c>
      <c r="AC1182" s="507"/>
      <c r="AD1182" s="507"/>
      <c r="AE1182" s="507">
        <v>250</v>
      </c>
      <c r="AF1182" s="507"/>
      <c r="AG1182" s="507"/>
      <c r="AH1182" s="507">
        <v>60</v>
      </c>
      <c r="AI1182" s="507"/>
      <c r="AJ1182" s="507"/>
      <c r="AK1182" s="507" t="s">
        <v>1490</v>
      </c>
      <c r="AL1182" s="507"/>
      <c r="AM1182" s="507"/>
      <c r="AN1182" s="509">
        <f>VLOOKUP(E1182,'Выгрузка из 1С'!$B$4:$K$2000,10,FALSE)</f>
        <v>23111</v>
      </c>
      <c r="AO1182" s="509"/>
      <c r="AP1182" s="509"/>
      <c r="AQ1182" s="509"/>
      <c r="AR1182" s="509"/>
      <c r="AS1182" s="509"/>
      <c r="AT1182" s="25"/>
      <c r="AU1182" s="25"/>
      <c r="AV1182" s="25"/>
      <c r="AW1182" s="25"/>
      <c r="AX1182" s="25"/>
    </row>
    <row r="1183" spans="1:50" s="35" customFormat="1" ht="15" customHeight="1" x14ac:dyDescent="0.25">
      <c r="A1183" s="25"/>
      <c r="B1183" s="25"/>
      <c r="C1183" s="508">
        <v>100</v>
      </c>
      <c r="D1183" s="508"/>
      <c r="E1183" s="513" t="s">
        <v>1848</v>
      </c>
      <c r="F1183" s="513"/>
      <c r="G1183" s="513"/>
      <c r="H1183" s="513"/>
      <c r="I1183" s="513"/>
      <c r="J1183" s="512" t="s">
        <v>1594</v>
      </c>
      <c r="K1183" s="512"/>
      <c r="L1183" s="512"/>
      <c r="M1183" s="512"/>
      <c r="N1183" s="512"/>
      <c r="O1183" s="512"/>
      <c r="P1183" s="512"/>
      <c r="Q1183" s="512"/>
      <c r="R1183" s="512"/>
      <c r="S1183" s="512"/>
      <c r="T1183" s="512"/>
      <c r="U1183" s="512"/>
      <c r="V1183" s="512"/>
      <c r="W1183" s="512"/>
      <c r="X1183" s="512"/>
      <c r="Y1183" s="507" t="s">
        <v>1548</v>
      </c>
      <c r="Z1183" s="507"/>
      <c r="AA1183" s="507"/>
      <c r="AB1183" s="507" t="s">
        <v>1488</v>
      </c>
      <c r="AC1183" s="507"/>
      <c r="AD1183" s="507"/>
      <c r="AE1183" s="507">
        <v>250</v>
      </c>
      <c r="AF1183" s="507"/>
      <c r="AG1183" s="507"/>
      <c r="AH1183" s="507">
        <v>100</v>
      </c>
      <c r="AI1183" s="507"/>
      <c r="AJ1183" s="507"/>
      <c r="AK1183" s="507" t="s">
        <v>1490</v>
      </c>
      <c r="AL1183" s="507"/>
      <c r="AM1183" s="507"/>
      <c r="AN1183" s="509">
        <f>VLOOKUP(E1183,'Выгрузка из 1С'!$B$4:$K$2000,10,FALSE)</f>
        <v>30100</v>
      </c>
      <c r="AO1183" s="509"/>
      <c r="AP1183" s="509"/>
      <c r="AQ1183" s="509"/>
      <c r="AR1183" s="509"/>
      <c r="AS1183" s="509"/>
      <c r="AT1183" s="25"/>
      <c r="AU1183" s="25"/>
      <c r="AV1183" s="25"/>
      <c r="AW1183" s="25"/>
      <c r="AX1183" s="25"/>
    </row>
    <row r="1184" spans="1:50" s="35" customFormat="1" ht="15" customHeight="1" x14ac:dyDescent="0.25">
      <c r="A1184" s="25"/>
      <c r="B1184" s="25"/>
      <c r="C1184" s="508">
        <v>100</v>
      </c>
      <c r="D1184" s="508"/>
      <c r="E1184" s="513" t="s">
        <v>1812</v>
      </c>
      <c r="F1184" s="513"/>
      <c r="G1184" s="513"/>
      <c r="H1184" s="513"/>
      <c r="I1184" s="513"/>
      <c r="J1184" s="512" t="s">
        <v>1595</v>
      </c>
      <c r="K1184" s="512"/>
      <c r="L1184" s="512"/>
      <c r="M1184" s="512"/>
      <c r="N1184" s="512"/>
      <c r="O1184" s="512"/>
      <c r="P1184" s="512"/>
      <c r="Q1184" s="512"/>
      <c r="R1184" s="512"/>
      <c r="S1184" s="512"/>
      <c r="T1184" s="512"/>
      <c r="U1184" s="512"/>
      <c r="V1184" s="512"/>
      <c r="W1184" s="512"/>
      <c r="X1184" s="512"/>
      <c r="Y1184" s="507" t="s">
        <v>1548</v>
      </c>
      <c r="Z1184" s="507"/>
      <c r="AA1184" s="507"/>
      <c r="AB1184" s="507" t="s">
        <v>1488</v>
      </c>
      <c r="AC1184" s="507"/>
      <c r="AD1184" s="507"/>
      <c r="AE1184" s="507">
        <v>250</v>
      </c>
      <c r="AF1184" s="507"/>
      <c r="AG1184" s="507"/>
      <c r="AH1184" s="507">
        <v>100</v>
      </c>
      <c r="AI1184" s="507"/>
      <c r="AJ1184" s="507"/>
      <c r="AK1184" s="507" t="s">
        <v>1490</v>
      </c>
      <c r="AL1184" s="507"/>
      <c r="AM1184" s="507"/>
      <c r="AN1184" s="509">
        <f>VLOOKUP(E1184,'Выгрузка из 1С'!$B$4:$K$2000,10,FALSE)</f>
        <v>30100</v>
      </c>
      <c r="AO1184" s="509"/>
      <c r="AP1184" s="509"/>
      <c r="AQ1184" s="509"/>
      <c r="AR1184" s="509"/>
      <c r="AS1184" s="509"/>
      <c r="AT1184" s="25"/>
      <c r="AU1184" s="25"/>
      <c r="AV1184" s="25"/>
      <c r="AW1184" s="25"/>
      <c r="AX1184" s="25"/>
    </row>
    <row r="1185" spans="1:50" s="35" customFormat="1" ht="15" customHeight="1" x14ac:dyDescent="0.25">
      <c r="A1185" s="25"/>
      <c r="B1185" s="25"/>
      <c r="C1185" s="508">
        <v>125</v>
      </c>
      <c r="D1185" s="508"/>
      <c r="E1185" s="513" t="s">
        <v>1750</v>
      </c>
      <c r="F1185" s="513"/>
      <c r="G1185" s="513"/>
      <c r="H1185" s="513"/>
      <c r="I1185" s="513"/>
      <c r="J1185" s="512" t="s">
        <v>1596</v>
      </c>
      <c r="K1185" s="512"/>
      <c r="L1185" s="512"/>
      <c r="M1185" s="512"/>
      <c r="N1185" s="512"/>
      <c r="O1185" s="512"/>
      <c r="P1185" s="512"/>
      <c r="Q1185" s="512"/>
      <c r="R1185" s="512"/>
      <c r="S1185" s="512"/>
      <c r="T1185" s="512"/>
      <c r="U1185" s="512"/>
      <c r="V1185" s="512"/>
      <c r="W1185" s="512"/>
      <c r="X1185" s="512"/>
      <c r="Y1185" s="507" t="s">
        <v>1487</v>
      </c>
      <c r="Z1185" s="507"/>
      <c r="AA1185" s="507"/>
      <c r="AB1185" s="507" t="s">
        <v>1488</v>
      </c>
      <c r="AC1185" s="507"/>
      <c r="AD1185" s="507"/>
      <c r="AE1185" s="507">
        <v>250</v>
      </c>
      <c r="AF1185" s="507"/>
      <c r="AG1185" s="507"/>
      <c r="AH1185" s="507">
        <v>250</v>
      </c>
      <c r="AI1185" s="507"/>
      <c r="AJ1185" s="507"/>
      <c r="AK1185" s="507" t="s">
        <v>1490</v>
      </c>
      <c r="AL1185" s="507"/>
      <c r="AM1185" s="507"/>
      <c r="AN1185" s="509">
        <f>VLOOKUP(E1185,'Выгрузка из 1С'!$B$4:$K$2000,10,FALSE)</f>
        <v>41300</v>
      </c>
      <c r="AO1185" s="509"/>
      <c r="AP1185" s="509"/>
      <c r="AQ1185" s="509"/>
      <c r="AR1185" s="509"/>
      <c r="AS1185" s="509"/>
      <c r="AT1185" s="25"/>
      <c r="AU1185" s="25"/>
      <c r="AV1185" s="25"/>
      <c r="AW1185" s="25"/>
      <c r="AX1185" s="25"/>
    </row>
    <row r="1186" spans="1:50" s="35" customFormat="1" ht="15" customHeight="1" x14ac:dyDescent="0.25">
      <c r="A1186" s="25"/>
      <c r="B1186" s="25"/>
      <c r="C1186" s="508">
        <v>125</v>
      </c>
      <c r="D1186" s="508"/>
      <c r="E1186" s="513" t="s">
        <v>1749</v>
      </c>
      <c r="F1186" s="513"/>
      <c r="G1186" s="513"/>
      <c r="H1186" s="513"/>
      <c r="I1186" s="513"/>
      <c r="J1186" s="512" t="s">
        <v>1597</v>
      </c>
      <c r="K1186" s="512"/>
      <c r="L1186" s="512"/>
      <c r="M1186" s="512"/>
      <c r="N1186" s="512"/>
      <c r="O1186" s="512"/>
      <c r="P1186" s="512"/>
      <c r="Q1186" s="512"/>
      <c r="R1186" s="512"/>
      <c r="S1186" s="512"/>
      <c r="T1186" s="512"/>
      <c r="U1186" s="512"/>
      <c r="V1186" s="512"/>
      <c r="W1186" s="512"/>
      <c r="X1186" s="512"/>
      <c r="Y1186" s="507" t="s">
        <v>1487</v>
      </c>
      <c r="Z1186" s="507"/>
      <c r="AA1186" s="507"/>
      <c r="AB1186" s="507" t="s">
        <v>1488</v>
      </c>
      <c r="AC1186" s="507"/>
      <c r="AD1186" s="507"/>
      <c r="AE1186" s="507">
        <v>250</v>
      </c>
      <c r="AF1186" s="507"/>
      <c r="AG1186" s="507"/>
      <c r="AH1186" s="507">
        <v>250</v>
      </c>
      <c r="AI1186" s="507"/>
      <c r="AJ1186" s="507"/>
      <c r="AK1186" s="507" t="s">
        <v>1490</v>
      </c>
      <c r="AL1186" s="507"/>
      <c r="AM1186" s="507"/>
      <c r="AN1186" s="509">
        <f>VLOOKUP(E1186,'Выгрузка из 1С'!$B$4:$K$2000,10,FALSE)</f>
        <v>43076.6</v>
      </c>
      <c r="AO1186" s="509"/>
      <c r="AP1186" s="509"/>
      <c r="AQ1186" s="509"/>
      <c r="AR1186" s="509"/>
      <c r="AS1186" s="509"/>
      <c r="AT1186" s="25"/>
      <c r="AU1186" s="25"/>
      <c r="AV1186" s="25"/>
      <c r="AW1186" s="25"/>
      <c r="AX1186" s="25"/>
    </row>
    <row r="1187" spans="1:50" s="35" customFormat="1" ht="15" customHeight="1" x14ac:dyDescent="0.25">
      <c r="A1187" s="25"/>
      <c r="B1187" s="25"/>
      <c r="C1187" s="508">
        <v>125</v>
      </c>
      <c r="D1187" s="508"/>
      <c r="E1187" s="513" t="s">
        <v>1820</v>
      </c>
      <c r="F1187" s="513"/>
      <c r="G1187" s="513"/>
      <c r="H1187" s="513"/>
      <c r="I1187" s="513"/>
      <c r="J1187" s="512" t="s">
        <v>1598</v>
      </c>
      <c r="K1187" s="512"/>
      <c r="L1187" s="512"/>
      <c r="M1187" s="512"/>
      <c r="N1187" s="512"/>
      <c r="O1187" s="512"/>
      <c r="P1187" s="512"/>
      <c r="Q1187" s="512"/>
      <c r="R1187" s="512"/>
      <c r="S1187" s="512"/>
      <c r="T1187" s="512"/>
      <c r="U1187" s="512"/>
      <c r="V1187" s="512"/>
      <c r="W1187" s="512"/>
      <c r="X1187" s="512"/>
      <c r="Y1187" s="507" t="s">
        <v>1548</v>
      </c>
      <c r="Z1187" s="507"/>
      <c r="AA1187" s="507"/>
      <c r="AB1187" s="507" t="s">
        <v>1488</v>
      </c>
      <c r="AC1187" s="507"/>
      <c r="AD1187" s="507"/>
      <c r="AE1187" s="507">
        <v>250</v>
      </c>
      <c r="AF1187" s="507"/>
      <c r="AG1187" s="507"/>
      <c r="AH1187" s="507">
        <v>160</v>
      </c>
      <c r="AI1187" s="507"/>
      <c r="AJ1187" s="507"/>
      <c r="AK1187" s="507" t="s">
        <v>1490</v>
      </c>
      <c r="AL1187" s="507"/>
      <c r="AM1187" s="507"/>
      <c r="AN1187" s="509">
        <f>VLOOKUP(E1187,'Выгрузка из 1С'!$B$4:$K$2000,10,FALSE)</f>
        <v>32550</v>
      </c>
      <c r="AO1187" s="509"/>
      <c r="AP1187" s="509"/>
      <c r="AQ1187" s="509"/>
      <c r="AR1187" s="509"/>
      <c r="AS1187" s="509"/>
      <c r="AT1187" s="25"/>
      <c r="AU1187" s="25"/>
      <c r="AV1187" s="25"/>
      <c r="AW1187" s="25"/>
      <c r="AX1187" s="25"/>
    </row>
    <row r="1188" spans="1:50" s="35" customFormat="1" ht="15" customHeight="1" x14ac:dyDescent="0.25">
      <c r="A1188" s="25"/>
      <c r="B1188" s="25"/>
      <c r="C1188" s="508">
        <v>125</v>
      </c>
      <c r="D1188" s="508"/>
      <c r="E1188" s="513" t="s">
        <v>1727</v>
      </c>
      <c r="F1188" s="513"/>
      <c r="G1188" s="513"/>
      <c r="H1188" s="513"/>
      <c r="I1188" s="513"/>
      <c r="J1188" s="512" t="s">
        <v>1599</v>
      </c>
      <c r="K1188" s="512"/>
      <c r="L1188" s="512"/>
      <c r="M1188" s="512"/>
      <c r="N1188" s="512"/>
      <c r="O1188" s="512"/>
      <c r="P1188" s="512"/>
      <c r="Q1188" s="512"/>
      <c r="R1188" s="512"/>
      <c r="S1188" s="512"/>
      <c r="T1188" s="512"/>
      <c r="U1188" s="512"/>
      <c r="V1188" s="512"/>
      <c r="W1188" s="512"/>
      <c r="X1188" s="512"/>
      <c r="Y1188" s="507" t="s">
        <v>1487</v>
      </c>
      <c r="Z1188" s="507"/>
      <c r="AA1188" s="507"/>
      <c r="AB1188" s="507" t="s">
        <v>1488</v>
      </c>
      <c r="AC1188" s="507"/>
      <c r="AD1188" s="507"/>
      <c r="AE1188" s="507">
        <v>250</v>
      </c>
      <c r="AF1188" s="507"/>
      <c r="AG1188" s="507"/>
      <c r="AH1188" s="507">
        <v>250</v>
      </c>
      <c r="AI1188" s="507"/>
      <c r="AJ1188" s="507"/>
      <c r="AK1188" s="507" t="s">
        <v>1490</v>
      </c>
      <c r="AL1188" s="507"/>
      <c r="AM1188" s="507"/>
      <c r="AN1188" s="509">
        <f>VLOOKUP(E1188,'Выгрузка из 1С'!$B$4:$K$2000,10,FALSE)</f>
        <v>45705.8</v>
      </c>
      <c r="AO1188" s="509"/>
      <c r="AP1188" s="509"/>
      <c r="AQ1188" s="509"/>
      <c r="AR1188" s="509"/>
      <c r="AS1188" s="509"/>
      <c r="AT1188" s="25"/>
      <c r="AU1188" s="25"/>
      <c r="AV1188" s="25"/>
      <c r="AW1188" s="25"/>
      <c r="AX1188" s="25"/>
    </row>
    <row r="1189" spans="1:50" s="35" customFormat="1" ht="15" customHeight="1" x14ac:dyDescent="0.25">
      <c r="A1189" s="25"/>
      <c r="B1189" s="25"/>
      <c r="C1189" s="508">
        <v>125</v>
      </c>
      <c r="D1189" s="508"/>
      <c r="E1189" s="513" t="s">
        <v>1699</v>
      </c>
      <c r="F1189" s="513"/>
      <c r="G1189" s="513"/>
      <c r="H1189" s="513"/>
      <c r="I1189" s="513"/>
      <c r="J1189" s="512" t="s">
        <v>1600</v>
      </c>
      <c r="K1189" s="512"/>
      <c r="L1189" s="512"/>
      <c r="M1189" s="512"/>
      <c r="N1189" s="512"/>
      <c r="O1189" s="512"/>
      <c r="P1189" s="512"/>
      <c r="Q1189" s="512"/>
      <c r="R1189" s="512"/>
      <c r="S1189" s="512"/>
      <c r="T1189" s="512"/>
      <c r="U1189" s="512"/>
      <c r="V1189" s="512"/>
      <c r="W1189" s="512"/>
      <c r="X1189" s="512"/>
      <c r="Y1189" s="507" t="s">
        <v>1487</v>
      </c>
      <c r="Z1189" s="507"/>
      <c r="AA1189" s="507"/>
      <c r="AB1189" s="507" t="s">
        <v>1488</v>
      </c>
      <c r="AC1189" s="507"/>
      <c r="AD1189" s="507"/>
      <c r="AE1189" s="507">
        <v>250</v>
      </c>
      <c r="AF1189" s="507"/>
      <c r="AG1189" s="507"/>
      <c r="AH1189" s="507">
        <v>250</v>
      </c>
      <c r="AI1189" s="507"/>
      <c r="AJ1189" s="507"/>
      <c r="AK1189" s="507" t="s">
        <v>1490</v>
      </c>
      <c r="AL1189" s="507"/>
      <c r="AM1189" s="507"/>
      <c r="AN1189" s="509">
        <f>VLOOKUP(E1189,'Выгрузка из 1С'!$B$4:$K$2000,10,FALSE)</f>
        <v>47482.400000000001</v>
      </c>
      <c r="AO1189" s="509"/>
      <c r="AP1189" s="509"/>
      <c r="AQ1189" s="509"/>
      <c r="AR1189" s="509"/>
      <c r="AS1189" s="509"/>
      <c r="AT1189" s="25"/>
      <c r="AU1189" s="25"/>
      <c r="AV1189" s="25"/>
      <c r="AW1189" s="25"/>
      <c r="AX1189" s="25"/>
    </row>
    <row r="1190" spans="1:50" s="35" customFormat="1" ht="15" customHeight="1" x14ac:dyDescent="0.25">
      <c r="A1190" s="25"/>
      <c r="B1190" s="25"/>
      <c r="C1190" s="508">
        <v>125</v>
      </c>
      <c r="D1190" s="508"/>
      <c r="E1190" s="513" t="s">
        <v>1811</v>
      </c>
      <c r="F1190" s="513"/>
      <c r="G1190" s="513"/>
      <c r="H1190" s="513"/>
      <c r="I1190" s="513"/>
      <c r="J1190" s="512" t="s">
        <v>1601</v>
      </c>
      <c r="K1190" s="512"/>
      <c r="L1190" s="512"/>
      <c r="M1190" s="512"/>
      <c r="N1190" s="512"/>
      <c r="O1190" s="512"/>
      <c r="P1190" s="512"/>
      <c r="Q1190" s="512"/>
      <c r="R1190" s="512"/>
      <c r="S1190" s="512"/>
      <c r="T1190" s="512"/>
      <c r="U1190" s="512"/>
      <c r="V1190" s="512"/>
      <c r="W1190" s="512"/>
      <c r="X1190" s="512"/>
      <c r="Y1190" s="507" t="s">
        <v>1548</v>
      </c>
      <c r="Z1190" s="507"/>
      <c r="AA1190" s="507"/>
      <c r="AB1190" s="507" t="s">
        <v>1488</v>
      </c>
      <c r="AC1190" s="507"/>
      <c r="AD1190" s="507"/>
      <c r="AE1190" s="507">
        <v>250</v>
      </c>
      <c r="AF1190" s="507"/>
      <c r="AG1190" s="507"/>
      <c r="AH1190" s="507">
        <v>160</v>
      </c>
      <c r="AI1190" s="507"/>
      <c r="AJ1190" s="507"/>
      <c r="AK1190" s="507" t="s">
        <v>1490</v>
      </c>
      <c r="AL1190" s="507"/>
      <c r="AM1190" s="507"/>
      <c r="AN1190" s="509">
        <f>VLOOKUP(E1190,'Выгрузка из 1С'!$B$4:$K$2000,10,FALSE)</f>
        <v>35770</v>
      </c>
      <c r="AO1190" s="509"/>
      <c r="AP1190" s="509"/>
      <c r="AQ1190" s="509"/>
      <c r="AR1190" s="509"/>
      <c r="AS1190" s="509"/>
      <c r="AT1190" s="25"/>
      <c r="AU1190" s="25"/>
      <c r="AV1190" s="25"/>
      <c r="AW1190" s="25"/>
      <c r="AX1190" s="25"/>
    </row>
    <row r="1191" spans="1:50" s="35" customFormat="1" ht="15" customHeight="1" x14ac:dyDescent="0.25">
      <c r="A1191" s="25"/>
      <c r="B1191" s="25"/>
      <c r="C1191" s="508">
        <v>150</v>
      </c>
      <c r="D1191" s="508"/>
      <c r="E1191" s="513" t="s">
        <v>1747</v>
      </c>
      <c r="F1191" s="513"/>
      <c r="G1191" s="513"/>
      <c r="H1191" s="513"/>
      <c r="I1191" s="513"/>
      <c r="J1191" s="512" t="s">
        <v>1602</v>
      </c>
      <c r="K1191" s="512"/>
      <c r="L1191" s="512"/>
      <c r="M1191" s="512"/>
      <c r="N1191" s="512"/>
      <c r="O1191" s="512"/>
      <c r="P1191" s="512"/>
      <c r="Q1191" s="512"/>
      <c r="R1191" s="512"/>
      <c r="S1191" s="512"/>
      <c r="T1191" s="512"/>
      <c r="U1191" s="512"/>
      <c r="V1191" s="512"/>
      <c r="W1191" s="512"/>
      <c r="X1191" s="512"/>
      <c r="Y1191" s="507" t="s">
        <v>1487</v>
      </c>
      <c r="Z1191" s="507"/>
      <c r="AA1191" s="507"/>
      <c r="AB1191" s="507" t="s">
        <v>1488</v>
      </c>
      <c r="AC1191" s="507"/>
      <c r="AD1191" s="507"/>
      <c r="AE1191" s="507">
        <v>300</v>
      </c>
      <c r="AF1191" s="507"/>
      <c r="AG1191" s="507"/>
      <c r="AH1191" s="507">
        <v>400</v>
      </c>
      <c r="AI1191" s="507"/>
      <c r="AJ1191" s="507"/>
      <c r="AK1191" s="507" t="s">
        <v>1490</v>
      </c>
      <c r="AL1191" s="507"/>
      <c r="AM1191" s="507"/>
      <c r="AN1191" s="509">
        <f>VLOOKUP(E1191,'Выгрузка из 1С'!$B$4:$K$2000,10,FALSE)</f>
        <v>119263.2</v>
      </c>
      <c r="AO1191" s="509"/>
      <c r="AP1191" s="509"/>
      <c r="AQ1191" s="509"/>
      <c r="AR1191" s="509"/>
      <c r="AS1191" s="509"/>
      <c r="AT1191" s="25"/>
      <c r="AU1191" s="25"/>
      <c r="AV1191" s="25"/>
      <c r="AW1191" s="25"/>
      <c r="AX1191" s="25"/>
    </row>
    <row r="1192" spans="1:50" s="35" customFormat="1" ht="15" customHeight="1" x14ac:dyDescent="0.25">
      <c r="A1192" s="25"/>
      <c r="B1192" s="25"/>
      <c r="C1192" s="508">
        <v>150</v>
      </c>
      <c r="D1192" s="508"/>
      <c r="E1192" s="513" t="s">
        <v>1746</v>
      </c>
      <c r="F1192" s="513"/>
      <c r="G1192" s="513"/>
      <c r="H1192" s="513"/>
      <c r="I1192" s="513"/>
      <c r="J1192" s="512" t="s">
        <v>1603</v>
      </c>
      <c r="K1192" s="512"/>
      <c r="L1192" s="512"/>
      <c r="M1192" s="512"/>
      <c r="N1192" s="512"/>
      <c r="O1192" s="512"/>
      <c r="P1192" s="512"/>
      <c r="Q1192" s="512"/>
      <c r="R1192" s="512"/>
      <c r="S1192" s="512"/>
      <c r="T1192" s="512"/>
      <c r="U1192" s="512"/>
      <c r="V1192" s="512"/>
      <c r="W1192" s="512"/>
      <c r="X1192" s="512"/>
      <c r="Y1192" s="507" t="s">
        <v>1487</v>
      </c>
      <c r="Z1192" s="507"/>
      <c r="AA1192" s="507"/>
      <c r="AB1192" s="507" t="s">
        <v>1488</v>
      </c>
      <c r="AC1192" s="507"/>
      <c r="AD1192" s="507"/>
      <c r="AE1192" s="507">
        <v>300</v>
      </c>
      <c r="AF1192" s="507"/>
      <c r="AG1192" s="507"/>
      <c r="AH1192" s="507">
        <v>400</v>
      </c>
      <c r="AI1192" s="507"/>
      <c r="AJ1192" s="507"/>
      <c r="AK1192" s="507" t="s">
        <v>1490</v>
      </c>
      <c r="AL1192" s="507"/>
      <c r="AM1192" s="507"/>
      <c r="AN1192" s="509">
        <f>VLOOKUP(E1192,'Выгрузка из 1С'!$B$4:$K$2000,10,FALSE)</f>
        <v>121065</v>
      </c>
      <c r="AO1192" s="509"/>
      <c r="AP1192" s="509"/>
      <c r="AQ1192" s="509"/>
      <c r="AR1192" s="509"/>
      <c r="AS1192" s="509"/>
      <c r="AT1192" s="25"/>
      <c r="AU1192" s="25"/>
      <c r="AV1192" s="25"/>
      <c r="AW1192" s="25"/>
      <c r="AX1192" s="25"/>
    </row>
    <row r="1193" spans="1:50" s="35" customFormat="1" ht="15" customHeight="1" x14ac:dyDescent="0.25">
      <c r="A1193" s="25"/>
      <c r="B1193" s="25"/>
      <c r="C1193" s="508">
        <v>150</v>
      </c>
      <c r="D1193" s="508"/>
      <c r="E1193" s="513" t="s">
        <v>1867</v>
      </c>
      <c r="F1193" s="513"/>
      <c r="G1193" s="513"/>
      <c r="H1193" s="513"/>
      <c r="I1193" s="513"/>
      <c r="J1193" s="512" t="s">
        <v>1604</v>
      </c>
      <c r="K1193" s="512"/>
      <c r="L1193" s="512"/>
      <c r="M1193" s="512"/>
      <c r="N1193" s="512"/>
      <c r="O1193" s="512"/>
      <c r="P1193" s="512"/>
      <c r="Q1193" s="512"/>
      <c r="R1193" s="512"/>
      <c r="S1193" s="512"/>
      <c r="T1193" s="512"/>
      <c r="U1193" s="512"/>
      <c r="V1193" s="512"/>
      <c r="W1193" s="512"/>
      <c r="X1193" s="512"/>
      <c r="Y1193" s="507" t="s">
        <v>1548</v>
      </c>
      <c r="Z1193" s="507"/>
      <c r="AA1193" s="507"/>
      <c r="AB1193" s="507" t="s">
        <v>1488</v>
      </c>
      <c r="AC1193" s="507"/>
      <c r="AD1193" s="507"/>
      <c r="AE1193" s="507">
        <v>300</v>
      </c>
      <c r="AF1193" s="507"/>
      <c r="AG1193" s="507"/>
      <c r="AH1193" s="507">
        <v>150</v>
      </c>
      <c r="AI1193" s="507"/>
      <c r="AJ1193" s="507"/>
      <c r="AK1193" s="507" t="s">
        <v>1490</v>
      </c>
      <c r="AL1193" s="507"/>
      <c r="AM1193" s="507"/>
      <c r="AN1193" s="509">
        <f>VLOOKUP(E1193,'Выгрузка из 1С'!$B$4:$K$2000,10,FALSE)</f>
        <v>38674</v>
      </c>
      <c r="AO1193" s="509"/>
      <c r="AP1193" s="509"/>
      <c r="AQ1193" s="509"/>
      <c r="AR1193" s="509"/>
      <c r="AS1193" s="509"/>
      <c r="AT1193" s="25"/>
      <c r="AU1193" s="25"/>
      <c r="AV1193" s="25"/>
      <c r="AW1193" s="25"/>
      <c r="AX1193" s="25"/>
    </row>
    <row r="1194" spans="1:50" s="35" customFormat="1" ht="15" customHeight="1" x14ac:dyDescent="0.25">
      <c r="A1194" s="25"/>
      <c r="B1194" s="25"/>
      <c r="C1194" s="508">
        <v>150</v>
      </c>
      <c r="D1194" s="508"/>
      <c r="E1194" s="513" t="s">
        <v>1847</v>
      </c>
      <c r="F1194" s="513"/>
      <c r="G1194" s="513"/>
      <c r="H1194" s="513"/>
      <c r="I1194" s="513"/>
      <c r="J1194" s="512" t="s">
        <v>1605</v>
      </c>
      <c r="K1194" s="512"/>
      <c r="L1194" s="512"/>
      <c r="M1194" s="512"/>
      <c r="N1194" s="512"/>
      <c r="O1194" s="512"/>
      <c r="P1194" s="512"/>
      <c r="Q1194" s="512"/>
      <c r="R1194" s="512"/>
      <c r="S1194" s="512"/>
      <c r="T1194" s="512"/>
      <c r="U1194" s="512"/>
      <c r="V1194" s="512"/>
      <c r="W1194" s="512"/>
      <c r="X1194" s="512"/>
      <c r="Y1194" s="507" t="s">
        <v>1548</v>
      </c>
      <c r="Z1194" s="507"/>
      <c r="AA1194" s="507"/>
      <c r="AB1194" s="507" t="s">
        <v>1488</v>
      </c>
      <c r="AC1194" s="507"/>
      <c r="AD1194" s="507"/>
      <c r="AE1194" s="507">
        <v>300</v>
      </c>
      <c r="AF1194" s="507"/>
      <c r="AG1194" s="507"/>
      <c r="AH1194" s="507">
        <v>250</v>
      </c>
      <c r="AI1194" s="507"/>
      <c r="AJ1194" s="507"/>
      <c r="AK1194" s="507" t="s">
        <v>1490</v>
      </c>
      <c r="AL1194" s="507"/>
      <c r="AM1194" s="507"/>
      <c r="AN1194" s="509">
        <f>VLOOKUP(E1194,'Выгрузка из 1С'!$B$4:$K$2000,10,FALSE)</f>
        <v>54600</v>
      </c>
      <c r="AO1194" s="509"/>
      <c r="AP1194" s="509"/>
      <c r="AQ1194" s="509"/>
      <c r="AR1194" s="509"/>
      <c r="AS1194" s="509"/>
      <c r="AT1194" s="25"/>
      <c r="AU1194" s="25"/>
      <c r="AV1194" s="25"/>
      <c r="AW1194" s="25"/>
      <c r="AX1194" s="25"/>
    </row>
    <row r="1195" spans="1:50" s="35" customFormat="1" ht="15" customHeight="1" x14ac:dyDescent="0.25">
      <c r="A1195" s="25"/>
      <c r="B1195" s="25"/>
      <c r="C1195" s="508">
        <v>150</v>
      </c>
      <c r="D1195" s="508"/>
      <c r="E1195" s="513" t="s">
        <v>1726</v>
      </c>
      <c r="F1195" s="513"/>
      <c r="G1195" s="513"/>
      <c r="H1195" s="513"/>
      <c r="I1195" s="513"/>
      <c r="J1195" s="512" t="s">
        <v>1606</v>
      </c>
      <c r="K1195" s="512"/>
      <c r="L1195" s="512"/>
      <c r="M1195" s="512"/>
      <c r="N1195" s="512"/>
      <c r="O1195" s="512"/>
      <c r="P1195" s="512"/>
      <c r="Q1195" s="512"/>
      <c r="R1195" s="512"/>
      <c r="S1195" s="512"/>
      <c r="T1195" s="512"/>
      <c r="U1195" s="512"/>
      <c r="V1195" s="512"/>
      <c r="W1195" s="512"/>
      <c r="X1195" s="512"/>
      <c r="Y1195" s="507" t="s">
        <v>1487</v>
      </c>
      <c r="Z1195" s="507"/>
      <c r="AA1195" s="507"/>
      <c r="AB1195" s="507" t="s">
        <v>1488</v>
      </c>
      <c r="AC1195" s="507"/>
      <c r="AD1195" s="507"/>
      <c r="AE1195" s="507">
        <v>300</v>
      </c>
      <c r="AF1195" s="507"/>
      <c r="AG1195" s="507"/>
      <c r="AH1195" s="507">
        <v>400</v>
      </c>
      <c r="AI1195" s="507"/>
      <c r="AJ1195" s="507"/>
      <c r="AK1195" s="507" t="s">
        <v>1490</v>
      </c>
      <c r="AL1195" s="507"/>
      <c r="AM1195" s="507"/>
      <c r="AN1195" s="509">
        <f>VLOOKUP(E1195,'Выгрузка из 1С'!$B$4:$K$2000,10,FALSE)</f>
        <v>127008</v>
      </c>
      <c r="AO1195" s="509"/>
      <c r="AP1195" s="509"/>
      <c r="AQ1195" s="509"/>
      <c r="AR1195" s="509"/>
      <c r="AS1195" s="509"/>
      <c r="AT1195" s="25"/>
      <c r="AU1195" s="25"/>
      <c r="AV1195" s="25"/>
      <c r="AW1195" s="25"/>
      <c r="AX1195" s="25"/>
    </row>
    <row r="1196" spans="1:50" s="35" customFormat="1" ht="15" customHeight="1" x14ac:dyDescent="0.25">
      <c r="A1196" s="25"/>
      <c r="B1196" s="25"/>
      <c r="C1196" s="508">
        <v>150</v>
      </c>
      <c r="D1196" s="508"/>
      <c r="E1196" s="513" t="s">
        <v>1698</v>
      </c>
      <c r="F1196" s="513"/>
      <c r="G1196" s="513"/>
      <c r="H1196" s="513"/>
      <c r="I1196" s="513"/>
      <c r="J1196" s="512" t="s">
        <v>1607</v>
      </c>
      <c r="K1196" s="512"/>
      <c r="L1196" s="512"/>
      <c r="M1196" s="512"/>
      <c r="N1196" s="512"/>
      <c r="O1196" s="512"/>
      <c r="P1196" s="512"/>
      <c r="Q1196" s="512"/>
      <c r="R1196" s="512"/>
      <c r="S1196" s="512"/>
      <c r="T1196" s="512"/>
      <c r="U1196" s="512"/>
      <c r="V1196" s="512"/>
      <c r="W1196" s="512"/>
      <c r="X1196" s="512"/>
      <c r="Y1196" s="507" t="s">
        <v>1487</v>
      </c>
      <c r="Z1196" s="507"/>
      <c r="AA1196" s="507"/>
      <c r="AB1196" s="507" t="s">
        <v>1488</v>
      </c>
      <c r="AC1196" s="507"/>
      <c r="AD1196" s="507"/>
      <c r="AE1196" s="507">
        <v>300</v>
      </c>
      <c r="AF1196" s="507"/>
      <c r="AG1196" s="507"/>
      <c r="AH1196" s="507">
        <v>400</v>
      </c>
      <c r="AI1196" s="507"/>
      <c r="AJ1196" s="507"/>
      <c r="AK1196" s="507" t="s">
        <v>1490</v>
      </c>
      <c r="AL1196" s="507"/>
      <c r="AM1196" s="507"/>
      <c r="AN1196" s="509">
        <f>VLOOKUP(E1196,'Выгрузка из 1С'!$B$4:$K$2000,10,FALSE)</f>
        <v>128811.2</v>
      </c>
      <c r="AO1196" s="509"/>
      <c r="AP1196" s="509"/>
      <c r="AQ1196" s="509"/>
      <c r="AR1196" s="509"/>
      <c r="AS1196" s="509"/>
      <c r="AT1196" s="25"/>
      <c r="AU1196" s="25"/>
      <c r="AV1196" s="25"/>
      <c r="AW1196" s="25"/>
      <c r="AX1196" s="25"/>
    </row>
    <row r="1197" spans="1:50" s="35" customFormat="1" ht="15" customHeight="1" x14ac:dyDescent="0.25">
      <c r="A1197" s="25"/>
      <c r="B1197" s="25"/>
      <c r="C1197" s="508">
        <v>150</v>
      </c>
      <c r="D1197" s="508"/>
      <c r="E1197" s="513" t="s">
        <v>1866</v>
      </c>
      <c r="F1197" s="513"/>
      <c r="G1197" s="513"/>
      <c r="H1197" s="513"/>
      <c r="I1197" s="513"/>
      <c r="J1197" s="512" t="s">
        <v>1608</v>
      </c>
      <c r="K1197" s="512"/>
      <c r="L1197" s="512"/>
      <c r="M1197" s="512"/>
      <c r="N1197" s="512"/>
      <c r="O1197" s="512"/>
      <c r="P1197" s="512"/>
      <c r="Q1197" s="512"/>
      <c r="R1197" s="512"/>
      <c r="S1197" s="512"/>
      <c r="T1197" s="512"/>
      <c r="U1197" s="512"/>
      <c r="V1197" s="512"/>
      <c r="W1197" s="512"/>
      <c r="X1197" s="512"/>
      <c r="Y1197" s="507" t="s">
        <v>1548</v>
      </c>
      <c r="Z1197" s="507"/>
      <c r="AA1197" s="507"/>
      <c r="AB1197" s="507" t="s">
        <v>1488</v>
      </c>
      <c r="AC1197" s="507"/>
      <c r="AD1197" s="507"/>
      <c r="AE1197" s="507">
        <v>300</v>
      </c>
      <c r="AF1197" s="507"/>
      <c r="AG1197" s="507"/>
      <c r="AH1197" s="507">
        <v>150</v>
      </c>
      <c r="AI1197" s="507"/>
      <c r="AJ1197" s="507"/>
      <c r="AK1197" s="507" t="s">
        <v>1490</v>
      </c>
      <c r="AL1197" s="507"/>
      <c r="AM1197" s="507"/>
      <c r="AN1197" s="509">
        <f>VLOOKUP(E1197,'Выгрузка из 1С'!$B$4:$K$2000,10,FALSE)</f>
        <v>43980</v>
      </c>
      <c r="AO1197" s="509"/>
      <c r="AP1197" s="509"/>
      <c r="AQ1197" s="509"/>
      <c r="AR1197" s="509"/>
      <c r="AS1197" s="509"/>
      <c r="AT1197" s="25"/>
      <c r="AU1197" s="25"/>
      <c r="AV1197" s="25"/>
      <c r="AW1197" s="25"/>
      <c r="AX1197" s="25"/>
    </row>
    <row r="1198" spans="1:50" s="35" customFormat="1" ht="15" customHeight="1" x14ac:dyDescent="0.25">
      <c r="A1198" s="25"/>
      <c r="B1198" s="25"/>
      <c r="C1198" s="508">
        <v>150</v>
      </c>
      <c r="D1198" s="508"/>
      <c r="E1198" s="513" t="s">
        <v>1846</v>
      </c>
      <c r="F1198" s="513"/>
      <c r="G1198" s="513"/>
      <c r="H1198" s="513"/>
      <c r="I1198" s="513"/>
      <c r="J1198" s="512" t="s">
        <v>1609</v>
      </c>
      <c r="K1198" s="512"/>
      <c r="L1198" s="512"/>
      <c r="M1198" s="512"/>
      <c r="N1198" s="512"/>
      <c r="O1198" s="512"/>
      <c r="P1198" s="512"/>
      <c r="Q1198" s="512"/>
      <c r="R1198" s="512"/>
      <c r="S1198" s="512"/>
      <c r="T1198" s="512"/>
      <c r="U1198" s="512"/>
      <c r="V1198" s="512"/>
      <c r="W1198" s="512"/>
      <c r="X1198" s="512"/>
      <c r="Y1198" s="507" t="s">
        <v>1548</v>
      </c>
      <c r="Z1198" s="507"/>
      <c r="AA1198" s="507"/>
      <c r="AB1198" s="507" t="s">
        <v>1488</v>
      </c>
      <c r="AC1198" s="507"/>
      <c r="AD1198" s="507"/>
      <c r="AE1198" s="507">
        <v>300</v>
      </c>
      <c r="AF1198" s="507"/>
      <c r="AG1198" s="507"/>
      <c r="AH1198" s="507">
        <v>250</v>
      </c>
      <c r="AI1198" s="507"/>
      <c r="AJ1198" s="507"/>
      <c r="AK1198" s="507" t="s">
        <v>1490</v>
      </c>
      <c r="AL1198" s="507"/>
      <c r="AM1198" s="507"/>
      <c r="AN1198" s="509">
        <f>VLOOKUP(E1198,'Выгрузка из 1С'!$B$4:$K$2000,10,FALSE)</f>
        <v>60620</v>
      </c>
      <c r="AO1198" s="509"/>
      <c r="AP1198" s="509"/>
      <c r="AQ1198" s="509"/>
      <c r="AR1198" s="509"/>
      <c r="AS1198" s="509"/>
      <c r="AT1198" s="25"/>
      <c r="AU1198" s="25"/>
      <c r="AV1198" s="25"/>
      <c r="AW1198" s="25"/>
      <c r="AX1198" s="25"/>
    </row>
    <row r="1199" spans="1:50" s="35" customFormat="1" ht="15" customHeight="1" x14ac:dyDescent="0.25">
      <c r="A1199" s="25"/>
      <c r="B1199" s="25"/>
      <c r="C1199" s="508">
        <v>200</v>
      </c>
      <c r="D1199" s="508"/>
      <c r="E1199" s="513" t="s">
        <v>1744</v>
      </c>
      <c r="F1199" s="513"/>
      <c r="G1199" s="513"/>
      <c r="H1199" s="513"/>
      <c r="I1199" s="513"/>
      <c r="J1199" s="512" t="s">
        <v>1610</v>
      </c>
      <c r="K1199" s="512"/>
      <c r="L1199" s="512"/>
      <c r="M1199" s="512"/>
      <c r="N1199" s="512"/>
      <c r="O1199" s="512"/>
      <c r="P1199" s="512"/>
      <c r="Q1199" s="512"/>
      <c r="R1199" s="512"/>
      <c r="S1199" s="512"/>
      <c r="T1199" s="512"/>
      <c r="U1199" s="512"/>
      <c r="V1199" s="512"/>
      <c r="W1199" s="512"/>
      <c r="X1199" s="512"/>
      <c r="Y1199" s="507" t="s">
        <v>1487</v>
      </c>
      <c r="Z1199" s="507"/>
      <c r="AA1199" s="507"/>
      <c r="AB1199" s="507" t="s">
        <v>1488</v>
      </c>
      <c r="AC1199" s="507"/>
      <c r="AD1199" s="507"/>
      <c r="AE1199" s="507">
        <v>350</v>
      </c>
      <c r="AF1199" s="507"/>
      <c r="AG1199" s="507"/>
      <c r="AH1199" s="507">
        <v>750</v>
      </c>
      <c r="AI1199" s="507"/>
      <c r="AJ1199" s="507"/>
      <c r="AK1199" s="507" t="s">
        <v>1490</v>
      </c>
      <c r="AL1199" s="507"/>
      <c r="AM1199" s="507"/>
      <c r="AN1199" s="509">
        <f>VLOOKUP(E1199,'Выгрузка из 1С'!$B$4:$K$2000,10,FALSE)</f>
        <v>155890</v>
      </c>
      <c r="AO1199" s="509"/>
      <c r="AP1199" s="509"/>
      <c r="AQ1199" s="509"/>
      <c r="AR1199" s="509"/>
      <c r="AS1199" s="509"/>
      <c r="AT1199" s="25"/>
      <c r="AU1199" s="25"/>
      <c r="AV1199" s="25"/>
      <c r="AW1199" s="25"/>
      <c r="AX1199" s="25"/>
    </row>
    <row r="1200" spans="1:50" s="35" customFormat="1" ht="15" customHeight="1" x14ac:dyDescent="0.25">
      <c r="A1200" s="25"/>
      <c r="B1200" s="25"/>
      <c r="C1200" s="508">
        <v>200</v>
      </c>
      <c r="D1200" s="508"/>
      <c r="E1200" s="513" t="s">
        <v>1743</v>
      </c>
      <c r="F1200" s="513"/>
      <c r="G1200" s="513"/>
      <c r="H1200" s="513"/>
      <c r="I1200" s="513"/>
      <c r="J1200" s="512" t="s">
        <v>1611</v>
      </c>
      <c r="K1200" s="512"/>
      <c r="L1200" s="512"/>
      <c r="M1200" s="512"/>
      <c r="N1200" s="512"/>
      <c r="O1200" s="512"/>
      <c r="P1200" s="512"/>
      <c r="Q1200" s="512"/>
      <c r="R1200" s="512"/>
      <c r="S1200" s="512"/>
      <c r="T1200" s="512"/>
      <c r="U1200" s="512"/>
      <c r="V1200" s="512"/>
      <c r="W1200" s="512"/>
      <c r="X1200" s="512"/>
      <c r="Y1200" s="507" t="s">
        <v>1487</v>
      </c>
      <c r="Z1200" s="507"/>
      <c r="AA1200" s="507"/>
      <c r="AB1200" s="507" t="s">
        <v>1488</v>
      </c>
      <c r="AC1200" s="507"/>
      <c r="AD1200" s="507"/>
      <c r="AE1200" s="507">
        <v>350</v>
      </c>
      <c r="AF1200" s="507"/>
      <c r="AG1200" s="507"/>
      <c r="AH1200" s="507">
        <v>750</v>
      </c>
      <c r="AI1200" s="507"/>
      <c r="AJ1200" s="507"/>
      <c r="AK1200" s="507" t="s">
        <v>1490</v>
      </c>
      <c r="AL1200" s="507"/>
      <c r="AM1200" s="507"/>
      <c r="AN1200" s="509">
        <f>VLOOKUP(E1200,'Выгрузка из 1С'!$B$4:$K$2000,10,FALSE)</f>
        <v>157691.79999999999</v>
      </c>
      <c r="AO1200" s="509"/>
      <c r="AP1200" s="509"/>
      <c r="AQ1200" s="509"/>
      <c r="AR1200" s="509"/>
      <c r="AS1200" s="509"/>
      <c r="AT1200" s="25"/>
      <c r="AU1200" s="25"/>
      <c r="AV1200" s="25"/>
      <c r="AW1200" s="25"/>
      <c r="AX1200" s="25"/>
    </row>
    <row r="1201" spans="1:50" s="35" customFormat="1" ht="15" customHeight="1" x14ac:dyDescent="0.25">
      <c r="A1201" s="25"/>
      <c r="B1201" s="25"/>
      <c r="C1201" s="508">
        <v>200</v>
      </c>
      <c r="D1201" s="508"/>
      <c r="E1201" s="513" t="s">
        <v>1864</v>
      </c>
      <c r="F1201" s="513"/>
      <c r="G1201" s="513"/>
      <c r="H1201" s="513"/>
      <c r="I1201" s="513"/>
      <c r="J1201" s="512" t="s">
        <v>1612</v>
      </c>
      <c r="K1201" s="512"/>
      <c r="L1201" s="512"/>
      <c r="M1201" s="512"/>
      <c r="N1201" s="512"/>
      <c r="O1201" s="512"/>
      <c r="P1201" s="512"/>
      <c r="Q1201" s="512"/>
      <c r="R1201" s="512"/>
      <c r="S1201" s="512"/>
      <c r="T1201" s="512"/>
      <c r="U1201" s="512"/>
      <c r="V1201" s="512"/>
      <c r="W1201" s="512"/>
      <c r="X1201" s="512"/>
      <c r="Y1201" s="507" t="s">
        <v>1548</v>
      </c>
      <c r="Z1201" s="507"/>
      <c r="AA1201" s="507"/>
      <c r="AB1201" s="507" t="s">
        <v>1488</v>
      </c>
      <c r="AC1201" s="507"/>
      <c r="AD1201" s="507"/>
      <c r="AE1201" s="507">
        <v>300</v>
      </c>
      <c r="AF1201" s="507"/>
      <c r="AG1201" s="507"/>
      <c r="AH1201" s="507">
        <v>250</v>
      </c>
      <c r="AI1201" s="507"/>
      <c r="AJ1201" s="507"/>
      <c r="AK1201" s="507" t="s">
        <v>1490</v>
      </c>
      <c r="AL1201" s="507"/>
      <c r="AM1201" s="507"/>
      <c r="AN1201" s="509">
        <f>VLOOKUP(E1201,'Выгрузка из 1С'!$B$4:$K$2000,10,FALSE)</f>
        <v>67855</v>
      </c>
      <c r="AO1201" s="509"/>
      <c r="AP1201" s="509"/>
      <c r="AQ1201" s="509"/>
      <c r="AR1201" s="509"/>
      <c r="AS1201" s="509"/>
      <c r="AT1201" s="25"/>
      <c r="AU1201" s="25"/>
      <c r="AV1201" s="25"/>
      <c r="AW1201" s="25"/>
      <c r="AX1201" s="25"/>
    </row>
    <row r="1202" spans="1:50" s="35" customFormat="1" ht="15" customHeight="1" x14ac:dyDescent="0.25">
      <c r="A1202" s="25"/>
      <c r="B1202" s="25"/>
      <c r="C1202" s="508">
        <v>200</v>
      </c>
      <c r="D1202" s="508"/>
      <c r="E1202" s="513" t="s">
        <v>1845</v>
      </c>
      <c r="F1202" s="513"/>
      <c r="G1202" s="513"/>
      <c r="H1202" s="513"/>
      <c r="I1202" s="513"/>
      <c r="J1202" s="512" t="s">
        <v>1613</v>
      </c>
      <c r="K1202" s="512"/>
      <c r="L1202" s="512"/>
      <c r="M1202" s="512"/>
      <c r="N1202" s="512"/>
      <c r="O1202" s="512"/>
      <c r="P1202" s="512"/>
      <c r="Q1202" s="512"/>
      <c r="R1202" s="512"/>
      <c r="S1202" s="512"/>
      <c r="T1202" s="512"/>
      <c r="U1202" s="512"/>
      <c r="V1202" s="512"/>
      <c r="W1202" s="512"/>
      <c r="X1202" s="512"/>
      <c r="Y1202" s="507" t="s">
        <v>1548</v>
      </c>
      <c r="Z1202" s="507"/>
      <c r="AA1202" s="507"/>
      <c r="AB1202" s="507" t="s">
        <v>1488</v>
      </c>
      <c r="AC1202" s="507"/>
      <c r="AD1202" s="507"/>
      <c r="AE1202" s="507">
        <v>350</v>
      </c>
      <c r="AF1202" s="507"/>
      <c r="AG1202" s="507"/>
      <c r="AH1202" s="507">
        <v>400</v>
      </c>
      <c r="AI1202" s="507"/>
      <c r="AJ1202" s="507"/>
      <c r="AK1202" s="507" t="s">
        <v>1490</v>
      </c>
      <c r="AL1202" s="507"/>
      <c r="AM1202" s="507"/>
      <c r="AN1202" s="509">
        <f>VLOOKUP(E1202,'Выгрузка из 1С'!$B$4:$K$2000,10,FALSE)</f>
        <v>95830</v>
      </c>
      <c r="AO1202" s="509"/>
      <c r="AP1202" s="509"/>
      <c r="AQ1202" s="509"/>
      <c r="AR1202" s="509"/>
      <c r="AS1202" s="509"/>
      <c r="AT1202" s="25"/>
      <c r="AU1202" s="25"/>
      <c r="AV1202" s="25"/>
      <c r="AW1202" s="25"/>
      <c r="AX1202" s="25"/>
    </row>
    <row r="1203" spans="1:50" s="35" customFormat="1" ht="15" customHeight="1" x14ac:dyDescent="0.25">
      <c r="A1203" s="25"/>
      <c r="B1203" s="25"/>
      <c r="C1203" s="508">
        <v>200</v>
      </c>
      <c r="D1203" s="508"/>
      <c r="E1203" s="513" t="s">
        <v>1725</v>
      </c>
      <c r="F1203" s="513"/>
      <c r="G1203" s="513"/>
      <c r="H1203" s="513"/>
      <c r="I1203" s="513"/>
      <c r="J1203" s="512" t="s">
        <v>1614</v>
      </c>
      <c r="K1203" s="512"/>
      <c r="L1203" s="512"/>
      <c r="M1203" s="512"/>
      <c r="N1203" s="512"/>
      <c r="O1203" s="512"/>
      <c r="P1203" s="512"/>
      <c r="Q1203" s="512"/>
      <c r="R1203" s="512"/>
      <c r="S1203" s="512"/>
      <c r="T1203" s="512"/>
      <c r="U1203" s="512"/>
      <c r="V1203" s="512"/>
      <c r="W1203" s="512"/>
      <c r="X1203" s="512"/>
      <c r="Y1203" s="507" t="s">
        <v>1487</v>
      </c>
      <c r="Z1203" s="507"/>
      <c r="AA1203" s="507"/>
      <c r="AB1203" s="507" t="s">
        <v>1488</v>
      </c>
      <c r="AC1203" s="507"/>
      <c r="AD1203" s="507"/>
      <c r="AE1203" s="507">
        <v>350</v>
      </c>
      <c r="AF1203" s="507"/>
      <c r="AG1203" s="507"/>
      <c r="AH1203" s="507">
        <v>750</v>
      </c>
      <c r="AI1203" s="507"/>
      <c r="AJ1203" s="507"/>
      <c r="AK1203" s="507" t="s">
        <v>1490</v>
      </c>
      <c r="AL1203" s="507"/>
      <c r="AM1203" s="507"/>
      <c r="AN1203" s="509">
        <f>VLOOKUP(E1203,'Выгрузка из 1С'!$B$4:$K$2000,10,FALSE)</f>
        <v>169402</v>
      </c>
      <c r="AO1203" s="509"/>
      <c r="AP1203" s="509"/>
      <c r="AQ1203" s="509"/>
      <c r="AR1203" s="509"/>
      <c r="AS1203" s="509"/>
      <c r="AT1203" s="25"/>
      <c r="AU1203" s="25"/>
      <c r="AV1203" s="25"/>
      <c r="AW1203" s="25"/>
      <c r="AX1203" s="25"/>
    </row>
    <row r="1204" spans="1:50" s="35" customFormat="1" ht="15" customHeight="1" x14ac:dyDescent="0.25">
      <c r="A1204" s="25"/>
      <c r="B1204" s="25"/>
      <c r="C1204" s="508">
        <v>200</v>
      </c>
      <c r="D1204" s="508"/>
      <c r="E1204" s="513" t="s">
        <v>1697</v>
      </c>
      <c r="F1204" s="513"/>
      <c r="G1204" s="513"/>
      <c r="H1204" s="513"/>
      <c r="I1204" s="513"/>
      <c r="J1204" s="512" t="s">
        <v>1615</v>
      </c>
      <c r="K1204" s="512"/>
      <c r="L1204" s="512"/>
      <c r="M1204" s="512"/>
      <c r="N1204" s="512"/>
      <c r="O1204" s="512"/>
      <c r="P1204" s="512"/>
      <c r="Q1204" s="512"/>
      <c r="R1204" s="512"/>
      <c r="S1204" s="512"/>
      <c r="T1204" s="512"/>
      <c r="U1204" s="512"/>
      <c r="V1204" s="512"/>
      <c r="W1204" s="512"/>
      <c r="X1204" s="512"/>
      <c r="Y1204" s="507" t="s">
        <v>1487</v>
      </c>
      <c r="Z1204" s="507"/>
      <c r="AA1204" s="507"/>
      <c r="AB1204" s="507" t="s">
        <v>1488</v>
      </c>
      <c r="AC1204" s="507"/>
      <c r="AD1204" s="507"/>
      <c r="AE1204" s="507">
        <v>350</v>
      </c>
      <c r="AF1204" s="507"/>
      <c r="AG1204" s="507"/>
      <c r="AH1204" s="507">
        <v>750</v>
      </c>
      <c r="AI1204" s="507"/>
      <c r="AJ1204" s="507"/>
      <c r="AK1204" s="507" t="s">
        <v>1490</v>
      </c>
      <c r="AL1204" s="507"/>
      <c r="AM1204" s="507"/>
      <c r="AN1204" s="509">
        <f>VLOOKUP(E1204,'Выгрузка из 1С'!$B$4:$K$2000,10,FALSE)</f>
        <v>171206</v>
      </c>
      <c r="AO1204" s="509"/>
      <c r="AP1204" s="509"/>
      <c r="AQ1204" s="509"/>
      <c r="AR1204" s="509"/>
      <c r="AS1204" s="509"/>
      <c r="AT1204" s="25"/>
      <c r="AU1204" s="25"/>
      <c r="AV1204" s="25"/>
      <c r="AW1204" s="25"/>
      <c r="AX1204" s="25"/>
    </row>
    <row r="1205" spans="1:50" s="35" customFormat="1" ht="15" customHeight="1" x14ac:dyDescent="0.25">
      <c r="A1205" s="25"/>
      <c r="B1205" s="25"/>
      <c r="C1205" s="508">
        <v>200</v>
      </c>
      <c r="D1205" s="508"/>
      <c r="E1205" s="513" t="s">
        <v>1844</v>
      </c>
      <c r="F1205" s="513"/>
      <c r="G1205" s="513"/>
      <c r="H1205" s="513"/>
      <c r="I1205" s="513"/>
      <c r="J1205" s="512" t="s">
        <v>1616</v>
      </c>
      <c r="K1205" s="512"/>
      <c r="L1205" s="512"/>
      <c r="M1205" s="512"/>
      <c r="N1205" s="512"/>
      <c r="O1205" s="512"/>
      <c r="P1205" s="512"/>
      <c r="Q1205" s="512"/>
      <c r="R1205" s="512"/>
      <c r="S1205" s="512"/>
      <c r="T1205" s="512"/>
      <c r="U1205" s="512"/>
      <c r="V1205" s="512"/>
      <c r="W1205" s="512"/>
      <c r="X1205" s="512"/>
      <c r="Y1205" s="507" t="s">
        <v>1548</v>
      </c>
      <c r="Z1205" s="507"/>
      <c r="AA1205" s="507"/>
      <c r="AB1205" s="507" t="s">
        <v>1488</v>
      </c>
      <c r="AC1205" s="507"/>
      <c r="AD1205" s="507"/>
      <c r="AE1205" s="507">
        <v>350</v>
      </c>
      <c r="AF1205" s="507"/>
      <c r="AG1205" s="507"/>
      <c r="AH1205" s="507">
        <v>400</v>
      </c>
      <c r="AI1205" s="507"/>
      <c r="AJ1205" s="507"/>
      <c r="AK1205" s="507" t="s">
        <v>1490</v>
      </c>
      <c r="AL1205" s="507"/>
      <c r="AM1205" s="507"/>
      <c r="AN1205" s="509">
        <f>VLOOKUP(E1205,'Выгрузка из 1С'!$B$4:$K$2000,10,FALSE)</f>
        <v>104090</v>
      </c>
      <c r="AO1205" s="509"/>
      <c r="AP1205" s="509"/>
      <c r="AQ1205" s="509"/>
      <c r="AR1205" s="509"/>
      <c r="AS1205" s="509"/>
      <c r="AT1205" s="25"/>
      <c r="AU1205" s="25"/>
      <c r="AV1205" s="25"/>
      <c r="AW1205" s="25"/>
      <c r="AX1205" s="25"/>
    </row>
    <row r="1206" spans="1:50" s="35" customFormat="1" ht="15" customHeight="1" x14ac:dyDescent="0.25">
      <c r="A1206" s="25"/>
      <c r="B1206" s="25"/>
      <c r="C1206" s="508">
        <v>250</v>
      </c>
      <c r="D1206" s="508"/>
      <c r="E1206" s="513" t="s">
        <v>1741</v>
      </c>
      <c r="F1206" s="513"/>
      <c r="G1206" s="513"/>
      <c r="H1206" s="513"/>
      <c r="I1206" s="513"/>
      <c r="J1206" s="512" t="s">
        <v>1617</v>
      </c>
      <c r="K1206" s="512"/>
      <c r="L1206" s="512"/>
      <c r="M1206" s="512"/>
      <c r="N1206" s="512"/>
      <c r="O1206" s="512"/>
      <c r="P1206" s="512"/>
      <c r="Q1206" s="512"/>
      <c r="R1206" s="512"/>
      <c r="S1206" s="512"/>
      <c r="T1206" s="512"/>
      <c r="U1206" s="512"/>
      <c r="V1206" s="512"/>
      <c r="W1206" s="512"/>
      <c r="X1206" s="512"/>
      <c r="Y1206" s="507" t="s">
        <v>1487</v>
      </c>
      <c r="Z1206" s="507"/>
      <c r="AA1206" s="507"/>
      <c r="AB1206" s="507" t="s">
        <v>1488</v>
      </c>
      <c r="AC1206" s="507"/>
      <c r="AD1206" s="507"/>
      <c r="AE1206" s="507">
        <v>450</v>
      </c>
      <c r="AF1206" s="507"/>
      <c r="AG1206" s="507"/>
      <c r="AH1206" s="507">
        <v>1100</v>
      </c>
      <c r="AI1206" s="507"/>
      <c r="AJ1206" s="507"/>
      <c r="AK1206" s="507" t="s">
        <v>1490</v>
      </c>
      <c r="AL1206" s="507"/>
      <c r="AM1206" s="507"/>
      <c r="AN1206" s="509">
        <f>VLOOKUP(E1206,'Выгрузка из 1С'!$B$4:$K$2000,10,FALSE)</f>
        <v>239814.39999999999</v>
      </c>
      <c r="AO1206" s="509"/>
      <c r="AP1206" s="509"/>
      <c r="AQ1206" s="509"/>
      <c r="AR1206" s="509"/>
      <c r="AS1206" s="509"/>
      <c r="AT1206" s="25"/>
      <c r="AU1206" s="25"/>
      <c r="AV1206" s="25"/>
      <c r="AW1206" s="25"/>
      <c r="AX1206" s="25"/>
    </row>
    <row r="1207" spans="1:50" s="35" customFormat="1" ht="15" customHeight="1" x14ac:dyDescent="0.25">
      <c r="A1207" s="25"/>
      <c r="B1207" s="25"/>
      <c r="C1207" s="508">
        <v>250</v>
      </c>
      <c r="D1207" s="508"/>
      <c r="E1207" s="513" t="s">
        <v>1740</v>
      </c>
      <c r="F1207" s="513"/>
      <c r="G1207" s="513"/>
      <c r="H1207" s="513"/>
      <c r="I1207" s="513"/>
      <c r="J1207" s="512" t="s">
        <v>1618</v>
      </c>
      <c r="K1207" s="512"/>
      <c r="L1207" s="512"/>
      <c r="M1207" s="512"/>
      <c r="N1207" s="512"/>
      <c r="O1207" s="512"/>
      <c r="P1207" s="512"/>
      <c r="Q1207" s="512"/>
      <c r="R1207" s="512"/>
      <c r="S1207" s="512"/>
      <c r="T1207" s="512"/>
      <c r="U1207" s="512"/>
      <c r="V1207" s="512"/>
      <c r="W1207" s="512"/>
      <c r="X1207" s="512"/>
      <c r="Y1207" s="507" t="s">
        <v>1487</v>
      </c>
      <c r="Z1207" s="507"/>
      <c r="AA1207" s="507"/>
      <c r="AB1207" s="507" t="s">
        <v>1488</v>
      </c>
      <c r="AC1207" s="507"/>
      <c r="AD1207" s="507"/>
      <c r="AE1207" s="507">
        <v>450</v>
      </c>
      <c r="AF1207" s="507"/>
      <c r="AG1207" s="507"/>
      <c r="AH1207" s="507">
        <v>1100</v>
      </c>
      <c r="AI1207" s="507"/>
      <c r="AJ1207" s="507"/>
      <c r="AK1207" s="507" t="s">
        <v>1490</v>
      </c>
      <c r="AL1207" s="507"/>
      <c r="AM1207" s="507"/>
      <c r="AN1207" s="509">
        <f>VLOOKUP(E1207,'Выгрузка из 1С'!$B$4:$K$2000,10,FALSE)</f>
        <v>241616.2</v>
      </c>
      <c r="AO1207" s="509"/>
      <c r="AP1207" s="509"/>
      <c r="AQ1207" s="509"/>
      <c r="AR1207" s="509"/>
      <c r="AS1207" s="509"/>
      <c r="AT1207" s="25"/>
      <c r="AU1207" s="25"/>
      <c r="AV1207" s="25"/>
      <c r="AW1207" s="25"/>
      <c r="AX1207" s="25"/>
    </row>
    <row r="1208" spans="1:50" s="35" customFormat="1" ht="15" customHeight="1" x14ac:dyDescent="0.25">
      <c r="A1208" s="25"/>
      <c r="B1208" s="25"/>
      <c r="C1208" s="508">
        <v>250</v>
      </c>
      <c r="D1208" s="508"/>
      <c r="E1208" s="513" t="s">
        <v>1843</v>
      </c>
      <c r="F1208" s="513"/>
      <c r="G1208" s="513"/>
      <c r="H1208" s="513"/>
      <c r="I1208" s="513"/>
      <c r="J1208" s="512" t="s">
        <v>1619</v>
      </c>
      <c r="K1208" s="512"/>
      <c r="L1208" s="512"/>
      <c r="M1208" s="512"/>
      <c r="N1208" s="512"/>
      <c r="O1208" s="512"/>
      <c r="P1208" s="512"/>
      <c r="Q1208" s="512"/>
      <c r="R1208" s="512"/>
      <c r="S1208" s="512"/>
      <c r="T1208" s="512"/>
      <c r="U1208" s="512"/>
      <c r="V1208" s="512"/>
      <c r="W1208" s="512"/>
      <c r="X1208" s="512"/>
      <c r="Y1208" s="507" t="s">
        <v>1548</v>
      </c>
      <c r="Z1208" s="507"/>
      <c r="AA1208" s="507"/>
      <c r="AB1208" s="507" t="s">
        <v>1488</v>
      </c>
      <c r="AC1208" s="507"/>
      <c r="AD1208" s="507"/>
      <c r="AE1208" s="507">
        <v>450</v>
      </c>
      <c r="AF1208" s="507"/>
      <c r="AG1208" s="507"/>
      <c r="AH1208" s="507">
        <v>630</v>
      </c>
      <c r="AI1208" s="507"/>
      <c r="AJ1208" s="507"/>
      <c r="AK1208" s="507" t="s">
        <v>1490</v>
      </c>
      <c r="AL1208" s="507"/>
      <c r="AM1208" s="507"/>
      <c r="AN1208" s="509">
        <f>VLOOKUP(E1208,'Выгрузка из 1С'!$B$4:$K$2000,10,FALSE)</f>
        <v>180880</v>
      </c>
      <c r="AO1208" s="509"/>
      <c r="AP1208" s="509"/>
      <c r="AQ1208" s="509"/>
      <c r="AR1208" s="509"/>
      <c r="AS1208" s="509"/>
      <c r="AT1208" s="25"/>
      <c r="AU1208" s="25"/>
      <c r="AV1208" s="25"/>
      <c r="AW1208" s="25"/>
      <c r="AX1208" s="25"/>
    </row>
    <row r="1209" spans="1:50" s="35" customFormat="1" ht="15" customHeight="1" x14ac:dyDescent="0.25">
      <c r="A1209" s="25"/>
      <c r="B1209" s="25"/>
      <c r="C1209" s="508">
        <v>250</v>
      </c>
      <c r="D1209" s="508"/>
      <c r="E1209" s="513" t="s">
        <v>1724</v>
      </c>
      <c r="F1209" s="513"/>
      <c r="G1209" s="513"/>
      <c r="H1209" s="513"/>
      <c r="I1209" s="513"/>
      <c r="J1209" s="512" t="s">
        <v>1620</v>
      </c>
      <c r="K1209" s="512"/>
      <c r="L1209" s="512"/>
      <c r="M1209" s="512"/>
      <c r="N1209" s="512"/>
      <c r="O1209" s="512"/>
      <c r="P1209" s="512"/>
      <c r="Q1209" s="512"/>
      <c r="R1209" s="512"/>
      <c r="S1209" s="512"/>
      <c r="T1209" s="512"/>
      <c r="U1209" s="512"/>
      <c r="V1209" s="512"/>
      <c r="W1209" s="512"/>
      <c r="X1209" s="512"/>
      <c r="Y1209" s="507" t="s">
        <v>1487</v>
      </c>
      <c r="Z1209" s="507"/>
      <c r="AA1209" s="507"/>
      <c r="AB1209" s="507" t="s">
        <v>1488</v>
      </c>
      <c r="AC1209" s="507"/>
      <c r="AD1209" s="507"/>
      <c r="AE1209" s="507">
        <v>450</v>
      </c>
      <c r="AF1209" s="507"/>
      <c r="AG1209" s="507"/>
      <c r="AH1209" s="507">
        <v>1100</v>
      </c>
      <c r="AI1209" s="507"/>
      <c r="AJ1209" s="507"/>
      <c r="AK1209" s="507" t="s">
        <v>1490</v>
      </c>
      <c r="AL1209" s="507"/>
      <c r="AM1209" s="507"/>
      <c r="AN1209" s="509">
        <f>VLOOKUP(E1209,'Выгрузка из 1С'!$B$4:$K$2000,10,FALSE)</f>
        <v>256296.6</v>
      </c>
      <c r="AO1209" s="509"/>
      <c r="AP1209" s="509"/>
      <c r="AQ1209" s="509"/>
      <c r="AR1209" s="509"/>
      <c r="AS1209" s="509"/>
      <c r="AT1209" s="25"/>
      <c r="AU1209" s="25"/>
      <c r="AV1209" s="25"/>
      <c r="AW1209" s="25"/>
      <c r="AX1209" s="25"/>
    </row>
    <row r="1210" spans="1:50" s="35" customFormat="1" ht="15" customHeight="1" x14ac:dyDescent="0.25">
      <c r="A1210" s="25"/>
      <c r="B1210" s="25"/>
      <c r="C1210" s="508">
        <v>250</v>
      </c>
      <c r="D1210" s="508"/>
      <c r="E1210" s="513" t="s">
        <v>1695</v>
      </c>
      <c r="F1210" s="513"/>
      <c r="G1210" s="513"/>
      <c r="H1210" s="513"/>
      <c r="I1210" s="513"/>
      <c r="J1210" s="512" t="s">
        <v>1621</v>
      </c>
      <c r="K1210" s="512"/>
      <c r="L1210" s="512"/>
      <c r="M1210" s="512"/>
      <c r="N1210" s="512"/>
      <c r="O1210" s="512"/>
      <c r="P1210" s="512"/>
      <c r="Q1210" s="512"/>
      <c r="R1210" s="512"/>
      <c r="S1210" s="512"/>
      <c r="T1210" s="512"/>
      <c r="U1210" s="512"/>
      <c r="V1210" s="512"/>
      <c r="W1210" s="512"/>
      <c r="X1210" s="512"/>
      <c r="Y1210" s="507" t="s">
        <v>1487</v>
      </c>
      <c r="Z1210" s="507"/>
      <c r="AA1210" s="507"/>
      <c r="AB1210" s="507" t="s">
        <v>1488</v>
      </c>
      <c r="AC1210" s="507"/>
      <c r="AD1210" s="507"/>
      <c r="AE1210" s="507">
        <v>450</v>
      </c>
      <c r="AF1210" s="507"/>
      <c r="AG1210" s="507"/>
      <c r="AH1210" s="507">
        <v>1100</v>
      </c>
      <c r="AI1210" s="507"/>
      <c r="AJ1210" s="507"/>
      <c r="AK1210" s="507" t="s">
        <v>1490</v>
      </c>
      <c r="AL1210" s="507"/>
      <c r="AM1210" s="507"/>
      <c r="AN1210" s="509">
        <f>VLOOKUP(E1210,'Выгрузка из 1С'!$B$4:$K$2000,10,FALSE)</f>
        <v>258098.4</v>
      </c>
      <c r="AO1210" s="509"/>
      <c r="AP1210" s="509"/>
      <c r="AQ1210" s="509"/>
      <c r="AR1210" s="509"/>
      <c r="AS1210" s="509"/>
      <c r="AT1210" s="25"/>
      <c r="AU1210" s="25"/>
      <c r="AV1210" s="25"/>
      <c r="AW1210" s="25"/>
      <c r="AX1210" s="25"/>
    </row>
    <row r="1211" spans="1:50" s="35" customFormat="1" ht="15" customHeight="1" x14ac:dyDescent="0.25">
      <c r="A1211" s="25"/>
      <c r="B1211" s="25"/>
      <c r="C1211" s="508">
        <v>250</v>
      </c>
      <c r="D1211" s="508"/>
      <c r="E1211" s="513" t="s">
        <v>1810</v>
      </c>
      <c r="F1211" s="513"/>
      <c r="G1211" s="513"/>
      <c r="H1211" s="513"/>
      <c r="I1211" s="513"/>
      <c r="J1211" s="512" t="s">
        <v>1622</v>
      </c>
      <c r="K1211" s="512"/>
      <c r="L1211" s="512"/>
      <c r="M1211" s="512"/>
      <c r="N1211" s="512"/>
      <c r="O1211" s="512"/>
      <c r="P1211" s="512"/>
      <c r="Q1211" s="512"/>
      <c r="R1211" s="512"/>
      <c r="S1211" s="512"/>
      <c r="T1211" s="512"/>
      <c r="U1211" s="512"/>
      <c r="V1211" s="512"/>
      <c r="W1211" s="512"/>
      <c r="X1211" s="512"/>
      <c r="Y1211" s="507" t="s">
        <v>1548</v>
      </c>
      <c r="Z1211" s="507"/>
      <c r="AA1211" s="507"/>
      <c r="AB1211" s="507" t="s">
        <v>1488</v>
      </c>
      <c r="AC1211" s="507"/>
      <c r="AD1211" s="507"/>
      <c r="AE1211" s="507">
        <v>450</v>
      </c>
      <c r="AF1211" s="507"/>
      <c r="AG1211" s="507"/>
      <c r="AH1211" s="507">
        <v>630</v>
      </c>
      <c r="AI1211" s="507"/>
      <c r="AJ1211" s="507"/>
      <c r="AK1211" s="507" t="s">
        <v>1490</v>
      </c>
      <c r="AL1211" s="507"/>
      <c r="AM1211" s="507"/>
      <c r="AN1211" s="509">
        <f>VLOOKUP(E1211,'Выгрузка из 1С'!$B$4:$K$2000,10,FALSE)</f>
        <v>195300</v>
      </c>
      <c r="AO1211" s="509"/>
      <c r="AP1211" s="509"/>
      <c r="AQ1211" s="509"/>
      <c r="AR1211" s="509"/>
      <c r="AS1211" s="509"/>
      <c r="AT1211" s="25"/>
      <c r="AU1211" s="25"/>
      <c r="AV1211" s="25"/>
      <c r="AW1211" s="25"/>
      <c r="AX1211" s="25"/>
    </row>
    <row r="1212" spans="1:50" s="35" customFormat="1" ht="15" customHeight="1" x14ac:dyDescent="0.2">
      <c r="A1212" s="25"/>
      <c r="B1212" s="25"/>
      <c r="C1212" s="511" t="s">
        <v>1915</v>
      </c>
      <c r="D1212" s="511"/>
      <c r="E1212" s="511"/>
      <c r="F1212" s="511"/>
      <c r="G1212" s="511"/>
      <c r="H1212" s="511"/>
      <c r="I1212" s="511"/>
      <c r="J1212" s="511"/>
      <c r="K1212" s="511"/>
      <c r="L1212" s="511"/>
      <c r="M1212" s="511"/>
      <c r="N1212" s="511"/>
      <c r="O1212" s="511"/>
      <c r="P1212" s="511"/>
      <c r="Q1212" s="511"/>
      <c r="R1212" s="511"/>
      <c r="S1212" s="511"/>
      <c r="T1212" s="511"/>
      <c r="U1212" s="511"/>
      <c r="V1212" s="511"/>
      <c r="W1212" s="511"/>
      <c r="X1212" s="511"/>
      <c r="Y1212" s="511"/>
      <c r="Z1212" s="511"/>
      <c r="AA1212" s="511"/>
      <c r="AB1212" s="511"/>
      <c r="AC1212" s="511"/>
      <c r="AD1212" s="511"/>
      <c r="AE1212" s="511"/>
      <c r="AF1212" s="511"/>
      <c r="AG1212" s="511"/>
      <c r="AH1212" s="511"/>
      <c r="AI1212" s="511"/>
      <c r="AJ1212" s="511"/>
      <c r="AK1212" s="511"/>
      <c r="AL1212" s="511"/>
      <c r="AM1212" s="511"/>
      <c r="AN1212" s="511"/>
      <c r="AO1212" s="511"/>
      <c r="AP1212" s="511"/>
      <c r="AQ1212" s="511"/>
      <c r="AR1212" s="511"/>
      <c r="AS1212" s="511"/>
      <c r="AT1212" s="25"/>
      <c r="AU1212" s="25"/>
      <c r="AV1212" s="25"/>
      <c r="AW1212" s="25"/>
      <c r="AX1212" s="25"/>
    </row>
    <row r="1213" spans="1:50" s="35" customFormat="1" ht="15" customHeight="1" x14ac:dyDescent="0.25">
      <c r="A1213" s="25"/>
      <c r="B1213" s="25"/>
      <c r="C1213" s="508">
        <v>40</v>
      </c>
      <c r="D1213" s="508"/>
      <c r="E1213" s="513" t="s">
        <v>1776</v>
      </c>
      <c r="F1213" s="513"/>
      <c r="G1213" s="513"/>
      <c r="H1213" s="513"/>
      <c r="I1213" s="513"/>
      <c r="J1213" s="512" t="s">
        <v>1623</v>
      </c>
      <c r="K1213" s="512"/>
      <c r="L1213" s="512"/>
      <c r="M1213" s="512"/>
      <c r="N1213" s="512"/>
      <c r="O1213" s="512"/>
      <c r="P1213" s="512"/>
      <c r="Q1213" s="512"/>
      <c r="R1213" s="512"/>
      <c r="S1213" s="512"/>
      <c r="T1213" s="512"/>
      <c r="U1213" s="512"/>
      <c r="V1213" s="512"/>
      <c r="W1213" s="512"/>
      <c r="X1213" s="512"/>
      <c r="Y1213" s="507" t="s">
        <v>1487</v>
      </c>
      <c r="Z1213" s="507"/>
      <c r="AA1213" s="507"/>
      <c r="AB1213" s="507" t="s">
        <v>1488</v>
      </c>
      <c r="AC1213" s="507"/>
      <c r="AD1213" s="507"/>
      <c r="AE1213" s="507">
        <v>200</v>
      </c>
      <c r="AF1213" s="507"/>
      <c r="AG1213" s="507"/>
      <c r="AH1213" s="507">
        <v>25</v>
      </c>
      <c r="AI1213" s="507"/>
      <c r="AJ1213" s="507"/>
      <c r="AK1213" s="507" t="s">
        <v>423</v>
      </c>
      <c r="AL1213" s="507"/>
      <c r="AM1213" s="507"/>
      <c r="AN1213" s="509">
        <f>VLOOKUP(E1213,'Выгрузка из 1С'!$B$4:$K$2000,10,FALSE)</f>
        <v>23216.2</v>
      </c>
      <c r="AO1213" s="509"/>
      <c r="AP1213" s="509"/>
      <c r="AQ1213" s="509"/>
      <c r="AR1213" s="509"/>
      <c r="AS1213" s="509"/>
      <c r="AT1213" s="25"/>
      <c r="AU1213" s="25"/>
      <c r="AV1213" s="25"/>
      <c r="AW1213" s="25"/>
      <c r="AX1213" s="25"/>
    </row>
    <row r="1214" spans="1:50" s="35" customFormat="1" ht="15" customHeight="1" x14ac:dyDescent="0.25">
      <c r="A1214" s="25"/>
      <c r="B1214" s="25"/>
      <c r="C1214" s="508">
        <v>40</v>
      </c>
      <c r="D1214" s="508"/>
      <c r="E1214" s="513" t="s">
        <v>1842</v>
      </c>
      <c r="F1214" s="513"/>
      <c r="G1214" s="513"/>
      <c r="H1214" s="513"/>
      <c r="I1214" s="513"/>
      <c r="J1214" s="512" t="s">
        <v>1624</v>
      </c>
      <c r="K1214" s="512"/>
      <c r="L1214" s="512"/>
      <c r="M1214" s="512"/>
      <c r="N1214" s="512"/>
      <c r="O1214" s="512"/>
      <c r="P1214" s="512"/>
      <c r="Q1214" s="512"/>
      <c r="R1214" s="512"/>
      <c r="S1214" s="512"/>
      <c r="T1214" s="512"/>
      <c r="U1214" s="512"/>
      <c r="V1214" s="512"/>
      <c r="W1214" s="512"/>
      <c r="X1214" s="512"/>
      <c r="Y1214" s="507" t="s">
        <v>1548</v>
      </c>
      <c r="Z1214" s="507"/>
      <c r="AA1214" s="507"/>
      <c r="AB1214" s="507" t="s">
        <v>1488</v>
      </c>
      <c r="AC1214" s="507"/>
      <c r="AD1214" s="507"/>
      <c r="AE1214" s="507">
        <v>200</v>
      </c>
      <c r="AF1214" s="507"/>
      <c r="AG1214" s="507"/>
      <c r="AH1214" s="507">
        <v>20</v>
      </c>
      <c r="AI1214" s="507"/>
      <c r="AJ1214" s="507"/>
      <c r="AK1214" s="507" t="s">
        <v>1555</v>
      </c>
      <c r="AL1214" s="507"/>
      <c r="AM1214" s="507"/>
      <c r="AN1214" s="509">
        <f>VLOOKUP(E1214,'Выгрузка из 1С'!$B$4:$K$2000,10,FALSE)</f>
        <v>24710</v>
      </c>
      <c r="AO1214" s="509"/>
      <c r="AP1214" s="509"/>
      <c r="AQ1214" s="509"/>
      <c r="AR1214" s="509"/>
      <c r="AS1214" s="509"/>
      <c r="AT1214" s="25"/>
      <c r="AU1214" s="25"/>
      <c r="AV1214" s="25"/>
      <c r="AW1214" s="25"/>
      <c r="AX1214" s="25"/>
    </row>
    <row r="1215" spans="1:50" s="35" customFormat="1" ht="15" customHeight="1" x14ac:dyDescent="0.25">
      <c r="A1215" s="25"/>
      <c r="B1215" s="25"/>
      <c r="C1215" s="508">
        <v>40</v>
      </c>
      <c r="D1215" s="508"/>
      <c r="E1215" s="513" t="s">
        <v>1757</v>
      </c>
      <c r="F1215" s="513"/>
      <c r="G1215" s="513"/>
      <c r="H1215" s="513"/>
      <c r="I1215" s="513"/>
      <c r="J1215" s="512" t="s">
        <v>1625</v>
      </c>
      <c r="K1215" s="512"/>
      <c r="L1215" s="512"/>
      <c r="M1215" s="512"/>
      <c r="N1215" s="512"/>
      <c r="O1215" s="512"/>
      <c r="P1215" s="512"/>
      <c r="Q1215" s="512"/>
      <c r="R1215" s="512"/>
      <c r="S1215" s="512"/>
      <c r="T1215" s="512"/>
      <c r="U1215" s="512"/>
      <c r="V1215" s="512"/>
      <c r="W1215" s="512"/>
      <c r="X1215" s="512"/>
      <c r="Y1215" s="507" t="s">
        <v>1487</v>
      </c>
      <c r="Z1215" s="507"/>
      <c r="AA1215" s="507"/>
      <c r="AB1215" s="507" t="s">
        <v>1488</v>
      </c>
      <c r="AC1215" s="507"/>
      <c r="AD1215" s="507"/>
      <c r="AE1215" s="507">
        <v>200</v>
      </c>
      <c r="AF1215" s="507"/>
      <c r="AG1215" s="507"/>
      <c r="AH1215" s="507">
        <v>25</v>
      </c>
      <c r="AI1215" s="507"/>
      <c r="AJ1215" s="507"/>
      <c r="AK1215" s="507" t="s">
        <v>423</v>
      </c>
      <c r="AL1215" s="507"/>
      <c r="AM1215" s="507"/>
      <c r="AN1215" s="509">
        <f>VLOOKUP(E1215,'Выгрузка из 1С'!$B$4:$K$2000,10,FALSE)</f>
        <v>32004</v>
      </c>
      <c r="AO1215" s="509"/>
      <c r="AP1215" s="509"/>
      <c r="AQ1215" s="509"/>
      <c r="AR1215" s="509"/>
      <c r="AS1215" s="509"/>
      <c r="AT1215" s="25"/>
      <c r="AU1215" s="25"/>
      <c r="AV1215" s="25"/>
      <c r="AW1215" s="25"/>
      <c r="AX1215" s="25"/>
    </row>
    <row r="1216" spans="1:50" s="35" customFormat="1" ht="15" customHeight="1" x14ac:dyDescent="0.25">
      <c r="A1216" s="25"/>
      <c r="B1216" s="25"/>
      <c r="C1216" s="508">
        <v>40</v>
      </c>
      <c r="D1216" s="508"/>
      <c r="E1216" s="513" t="s">
        <v>1841</v>
      </c>
      <c r="F1216" s="513"/>
      <c r="G1216" s="513"/>
      <c r="H1216" s="513"/>
      <c r="I1216" s="513"/>
      <c r="J1216" s="512" t="s">
        <v>1626</v>
      </c>
      <c r="K1216" s="512"/>
      <c r="L1216" s="512"/>
      <c r="M1216" s="512"/>
      <c r="N1216" s="512"/>
      <c r="O1216" s="512"/>
      <c r="P1216" s="512"/>
      <c r="Q1216" s="512"/>
      <c r="R1216" s="512"/>
      <c r="S1216" s="512"/>
      <c r="T1216" s="512"/>
      <c r="U1216" s="512"/>
      <c r="V1216" s="512"/>
      <c r="W1216" s="512"/>
      <c r="X1216" s="512"/>
      <c r="Y1216" s="507" t="s">
        <v>1548</v>
      </c>
      <c r="Z1216" s="507"/>
      <c r="AA1216" s="507"/>
      <c r="AB1216" s="507" t="s">
        <v>1488</v>
      </c>
      <c r="AC1216" s="507"/>
      <c r="AD1216" s="507"/>
      <c r="AE1216" s="507">
        <v>200</v>
      </c>
      <c r="AF1216" s="507"/>
      <c r="AG1216" s="507"/>
      <c r="AH1216" s="507">
        <v>20</v>
      </c>
      <c r="AI1216" s="507"/>
      <c r="AJ1216" s="507"/>
      <c r="AK1216" s="507" t="s">
        <v>1555</v>
      </c>
      <c r="AL1216" s="507"/>
      <c r="AM1216" s="507"/>
      <c r="AN1216" s="509">
        <f>VLOOKUP(E1216,'Выгрузка из 1С'!$B$4:$K$2000,10,FALSE)</f>
        <v>28000</v>
      </c>
      <c r="AO1216" s="509"/>
      <c r="AP1216" s="509"/>
      <c r="AQ1216" s="509"/>
      <c r="AR1216" s="509"/>
      <c r="AS1216" s="509"/>
      <c r="AT1216" s="25"/>
      <c r="AU1216" s="25"/>
      <c r="AV1216" s="25"/>
      <c r="AW1216" s="25"/>
      <c r="AX1216" s="25"/>
    </row>
    <row r="1217" spans="1:50" s="35" customFormat="1" ht="15" customHeight="1" x14ac:dyDescent="0.25">
      <c r="A1217" s="25"/>
      <c r="B1217" s="25"/>
      <c r="C1217" s="508">
        <v>50</v>
      </c>
      <c r="D1217" s="508"/>
      <c r="E1217" s="513" t="s">
        <v>1775</v>
      </c>
      <c r="F1217" s="513"/>
      <c r="G1217" s="513"/>
      <c r="H1217" s="513"/>
      <c r="I1217" s="513"/>
      <c r="J1217" s="512" t="s">
        <v>1627</v>
      </c>
      <c r="K1217" s="512"/>
      <c r="L1217" s="512"/>
      <c r="M1217" s="512"/>
      <c r="N1217" s="512"/>
      <c r="O1217" s="512"/>
      <c r="P1217" s="512"/>
      <c r="Q1217" s="512"/>
      <c r="R1217" s="512"/>
      <c r="S1217" s="512"/>
      <c r="T1217" s="512"/>
      <c r="U1217" s="512"/>
      <c r="V1217" s="512"/>
      <c r="W1217" s="512"/>
      <c r="X1217" s="512"/>
      <c r="Y1217" s="507" t="s">
        <v>1487</v>
      </c>
      <c r="Z1217" s="507"/>
      <c r="AA1217" s="507"/>
      <c r="AB1217" s="507" t="s">
        <v>1488</v>
      </c>
      <c r="AC1217" s="507"/>
      <c r="AD1217" s="507"/>
      <c r="AE1217" s="507">
        <v>200</v>
      </c>
      <c r="AF1217" s="507"/>
      <c r="AG1217" s="507"/>
      <c r="AH1217" s="507">
        <v>25</v>
      </c>
      <c r="AI1217" s="507"/>
      <c r="AJ1217" s="507"/>
      <c r="AK1217" s="507" t="s">
        <v>423</v>
      </c>
      <c r="AL1217" s="507"/>
      <c r="AM1217" s="507"/>
      <c r="AN1217" s="509">
        <f>VLOOKUP(E1217,'Выгрузка из 1С'!$B$4:$K$2000,10,FALSE)</f>
        <v>32988.199999999997</v>
      </c>
      <c r="AO1217" s="509"/>
      <c r="AP1217" s="509"/>
      <c r="AQ1217" s="509"/>
      <c r="AR1217" s="509"/>
      <c r="AS1217" s="509"/>
      <c r="AT1217" s="25"/>
      <c r="AU1217" s="25"/>
      <c r="AV1217" s="25"/>
      <c r="AW1217" s="25"/>
      <c r="AX1217" s="25"/>
    </row>
    <row r="1218" spans="1:50" s="35" customFormat="1" ht="15" customHeight="1" x14ac:dyDescent="0.25">
      <c r="A1218" s="25"/>
      <c r="B1218" s="25"/>
      <c r="C1218" s="508">
        <v>50</v>
      </c>
      <c r="D1218" s="508"/>
      <c r="E1218" s="513" t="s">
        <v>1840</v>
      </c>
      <c r="F1218" s="513"/>
      <c r="G1218" s="513"/>
      <c r="H1218" s="513"/>
      <c r="I1218" s="513"/>
      <c r="J1218" s="512" t="s">
        <v>1628</v>
      </c>
      <c r="K1218" s="512"/>
      <c r="L1218" s="512"/>
      <c r="M1218" s="512"/>
      <c r="N1218" s="512"/>
      <c r="O1218" s="512"/>
      <c r="P1218" s="512"/>
      <c r="Q1218" s="512"/>
      <c r="R1218" s="512"/>
      <c r="S1218" s="512"/>
      <c r="T1218" s="512"/>
      <c r="U1218" s="512"/>
      <c r="V1218" s="512"/>
      <c r="W1218" s="512"/>
      <c r="X1218" s="512"/>
      <c r="Y1218" s="507" t="s">
        <v>1548</v>
      </c>
      <c r="Z1218" s="507"/>
      <c r="AA1218" s="507"/>
      <c r="AB1218" s="507" t="s">
        <v>1488</v>
      </c>
      <c r="AC1218" s="507"/>
      <c r="AD1218" s="507"/>
      <c r="AE1218" s="507">
        <v>200</v>
      </c>
      <c r="AF1218" s="507"/>
      <c r="AG1218" s="507"/>
      <c r="AH1218" s="507">
        <v>25</v>
      </c>
      <c r="AI1218" s="507"/>
      <c r="AJ1218" s="507"/>
      <c r="AK1218" s="507" t="s">
        <v>1555</v>
      </c>
      <c r="AL1218" s="507"/>
      <c r="AM1218" s="507"/>
      <c r="AN1218" s="509">
        <f>VLOOKUP(E1218,'Выгрузка из 1С'!$B$4:$K$2000,10,FALSE)</f>
        <v>24990</v>
      </c>
      <c r="AO1218" s="509"/>
      <c r="AP1218" s="509"/>
      <c r="AQ1218" s="509"/>
      <c r="AR1218" s="509"/>
      <c r="AS1218" s="509"/>
      <c r="AT1218" s="25"/>
      <c r="AU1218" s="25"/>
      <c r="AV1218" s="25"/>
      <c r="AW1218" s="25"/>
      <c r="AX1218" s="25"/>
    </row>
    <row r="1219" spans="1:50" s="35" customFormat="1" ht="15" customHeight="1" x14ac:dyDescent="0.25">
      <c r="A1219" s="25"/>
      <c r="B1219" s="25"/>
      <c r="C1219" s="508">
        <v>50</v>
      </c>
      <c r="D1219" s="508"/>
      <c r="E1219" s="513" t="s">
        <v>1767</v>
      </c>
      <c r="F1219" s="513"/>
      <c r="G1219" s="513"/>
      <c r="H1219" s="513"/>
      <c r="I1219" s="513"/>
      <c r="J1219" s="512" t="s">
        <v>1629</v>
      </c>
      <c r="K1219" s="512"/>
      <c r="L1219" s="512"/>
      <c r="M1219" s="512"/>
      <c r="N1219" s="512"/>
      <c r="O1219" s="512"/>
      <c r="P1219" s="512"/>
      <c r="Q1219" s="512"/>
      <c r="R1219" s="512"/>
      <c r="S1219" s="512"/>
      <c r="T1219" s="512"/>
      <c r="U1219" s="512"/>
      <c r="V1219" s="512"/>
      <c r="W1219" s="512"/>
      <c r="X1219" s="512"/>
      <c r="Y1219" s="507" t="s">
        <v>1487</v>
      </c>
      <c r="Z1219" s="507"/>
      <c r="AA1219" s="507"/>
      <c r="AB1219" s="507" t="s">
        <v>1488</v>
      </c>
      <c r="AC1219" s="507"/>
      <c r="AD1219" s="507"/>
      <c r="AE1219" s="507">
        <v>200</v>
      </c>
      <c r="AF1219" s="507"/>
      <c r="AG1219" s="507"/>
      <c r="AH1219" s="507">
        <v>25</v>
      </c>
      <c r="AI1219" s="507"/>
      <c r="AJ1219" s="507"/>
      <c r="AK1219" s="507" t="s">
        <v>423</v>
      </c>
      <c r="AL1219" s="507"/>
      <c r="AM1219" s="507"/>
      <c r="AN1219" s="509">
        <f>VLOOKUP(E1219,'Выгрузка из 1С'!$B$4:$K$2000,10,FALSE)</f>
        <v>44493.4</v>
      </c>
      <c r="AO1219" s="509"/>
      <c r="AP1219" s="509"/>
      <c r="AQ1219" s="509"/>
      <c r="AR1219" s="509"/>
      <c r="AS1219" s="509"/>
      <c r="AT1219" s="25"/>
      <c r="AU1219" s="25"/>
      <c r="AV1219" s="25"/>
      <c r="AW1219" s="25"/>
      <c r="AX1219" s="25"/>
    </row>
    <row r="1220" spans="1:50" s="35" customFormat="1" ht="15" customHeight="1" x14ac:dyDescent="0.25">
      <c r="A1220" s="25"/>
      <c r="B1220" s="25"/>
      <c r="C1220" s="508">
        <v>50</v>
      </c>
      <c r="D1220" s="508"/>
      <c r="E1220" s="513" t="s">
        <v>1877</v>
      </c>
      <c r="F1220" s="513"/>
      <c r="G1220" s="513"/>
      <c r="H1220" s="513"/>
      <c r="I1220" s="513"/>
      <c r="J1220" s="512" t="s">
        <v>1630</v>
      </c>
      <c r="K1220" s="512"/>
      <c r="L1220" s="512"/>
      <c r="M1220" s="512"/>
      <c r="N1220" s="512"/>
      <c r="O1220" s="512"/>
      <c r="P1220" s="512"/>
      <c r="Q1220" s="512"/>
      <c r="R1220" s="512"/>
      <c r="S1220" s="512"/>
      <c r="T1220" s="512"/>
      <c r="U1220" s="512"/>
      <c r="V1220" s="512"/>
      <c r="W1220" s="512"/>
      <c r="X1220" s="512"/>
      <c r="Y1220" s="507" t="s">
        <v>1548</v>
      </c>
      <c r="Z1220" s="507"/>
      <c r="AA1220" s="507"/>
      <c r="AB1220" s="507" t="s">
        <v>1488</v>
      </c>
      <c r="AC1220" s="507"/>
      <c r="AD1220" s="507"/>
      <c r="AE1220" s="507">
        <v>200</v>
      </c>
      <c r="AF1220" s="507"/>
      <c r="AG1220" s="507"/>
      <c r="AH1220" s="507">
        <v>15</v>
      </c>
      <c r="AI1220" s="507"/>
      <c r="AJ1220" s="507"/>
      <c r="AK1220" s="507" t="s">
        <v>1555</v>
      </c>
      <c r="AL1220" s="507"/>
      <c r="AM1220" s="507"/>
      <c r="AN1220" s="509">
        <f>VLOOKUP(E1220,'Выгрузка из 1С'!$B$4:$K$2000,10,FALSE)</f>
        <v>20363</v>
      </c>
      <c r="AO1220" s="509"/>
      <c r="AP1220" s="509"/>
      <c r="AQ1220" s="509"/>
      <c r="AR1220" s="509"/>
      <c r="AS1220" s="509"/>
      <c r="AT1220" s="25"/>
      <c r="AU1220" s="25"/>
      <c r="AV1220" s="25"/>
      <c r="AW1220" s="25"/>
      <c r="AX1220" s="25"/>
    </row>
    <row r="1221" spans="1:50" s="35" customFormat="1" ht="15" customHeight="1" x14ac:dyDescent="0.25">
      <c r="A1221" s="25"/>
      <c r="B1221" s="25"/>
      <c r="C1221" s="508">
        <v>50</v>
      </c>
      <c r="D1221" s="508"/>
      <c r="E1221" s="513" t="s">
        <v>1839</v>
      </c>
      <c r="F1221" s="513"/>
      <c r="G1221" s="513"/>
      <c r="H1221" s="513"/>
      <c r="I1221" s="513"/>
      <c r="J1221" s="512" t="s">
        <v>1631</v>
      </c>
      <c r="K1221" s="512"/>
      <c r="L1221" s="512"/>
      <c r="M1221" s="512"/>
      <c r="N1221" s="512"/>
      <c r="O1221" s="512"/>
      <c r="P1221" s="512"/>
      <c r="Q1221" s="512"/>
      <c r="R1221" s="512"/>
      <c r="S1221" s="512"/>
      <c r="T1221" s="512"/>
      <c r="U1221" s="512"/>
      <c r="V1221" s="512"/>
      <c r="W1221" s="512"/>
      <c r="X1221" s="512"/>
      <c r="Y1221" s="507" t="s">
        <v>1548</v>
      </c>
      <c r="Z1221" s="507"/>
      <c r="AA1221" s="507"/>
      <c r="AB1221" s="507" t="s">
        <v>1488</v>
      </c>
      <c r="AC1221" s="507"/>
      <c r="AD1221" s="507"/>
      <c r="AE1221" s="507">
        <v>200</v>
      </c>
      <c r="AF1221" s="507"/>
      <c r="AG1221" s="507"/>
      <c r="AH1221" s="507">
        <v>25</v>
      </c>
      <c r="AI1221" s="507"/>
      <c r="AJ1221" s="507"/>
      <c r="AK1221" s="507" t="s">
        <v>1555</v>
      </c>
      <c r="AL1221" s="507"/>
      <c r="AM1221" s="507"/>
      <c r="AN1221" s="509">
        <f>VLOOKUP(E1221,'Выгрузка из 1С'!$B$4:$K$2000,10,FALSE)</f>
        <v>28910</v>
      </c>
      <c r="AO1221" s="509"/>
      <c r="AP1221" s="509"/>
      <c r="AQ1221" s="509"/>
      <c r="AR1221" s="509"/>
      <c r="AS1221" s="509"/>
      <c r="AT1221" s="25"/>
      <c r="AU1221" s="25"/>
      <c r="AV1221" s="25"/>
      <c r="AW1221" s="25"/>
      <c r="AX1221" s="25"/>
    </row>
    <row r="1222" spans="1:50" s="35" customFormat="1" ht="15" customHeight="1" x14ac:dyDescent="0.25">
      <c r="A1222" s="25"/>
      <c r="B1222" s="25"/>
      <c r="C1222" s="508">
        <v>65</v>
      </c>
      <c r="D1222" s="508"/>
      <c r="E1222" s="513" t="s">
        <v>1774</v>
      </c>
      <c r="F1222" s="513"/>
      <c r="G1222" s="513"/>
      <c r="H1222" s="513"/>
      <c r="I1222" s="513"/>
      <c r="J1222" s="512" t="s">
        <v>1632</v>
      </c>
      <c r="K1222" s="512"/>
      <c r="L1222" s="512"/>
      <c r="M1222" s="512"/>
      <c r="N1222" s="512"/>
      <c r="O1222" s="512"/>
      <c r="P1222" s="512"/>
      <c r="Q1222" s="512"/>
      <c r="R1222" s="512"/>
      <c r="S1222" s="512"/>
      <c r="T1222" s="512"/>
      <c r="U1222" s="512"/>
      <c r="V1222" s="512"/>
      <c r="W1222" s="512"/>
      <c r="X1222" s="512"/>
      <c r="Y1222" s="507" t="s">
        <v>1487</v>
      </c>
      <c r="Z1222" s="507"/>
      <c r="AA1222" s="507"/>
      <c r="AB1222" s="507" t="s">
        <v>1488</v>
      </c>
      <c r="AC1222" s="507"/>
      <c r="AD1222" s="507"/>
      <c r="AE1222" s="507">
        <v>200</v>
      </c>
      <c r="AF1222" s="507"/>
      <c r="AG1222" s="507"/>
      <c r="AH1222" s="507">
        <v>40</v>
      </c>
      <c r="AI1222" s="507"/>
      <c r="AJ1222" s="507"/>
      <c r="AK1222" s="507" t="s">
        <v>423</v>
      </c>
      <c r="AL1222" s="507"/>
      <c r="AM1222" s="507"/>
      <c r="AN1222" s="509">
        <f>VLOOKUP(E1222,'Выгрузка из 1С'!$B$4:$K$2000,10,FALSE)</f>
        <v>35133</v>
      </c>
      <c r="AO1222" s="509"/>
      <c r="AP1222" s="509"/>
      <c r="AQ1222" s="509"/>
      <c r="AR1222" s="509"/>
      <c r="AS1222" s="509"/>
      <c r="AT1222" s="25"/>
      <c r="AU1222" s="25"/>
      <c r="AV1222" s="25"/>
      <c r="AW1222" s="25"/>
      <c r="AX1222" s="25"/>
    </row>
    <row r="1223" spans="1:50" s="35" customFormat="1" ht="15" customHeight="1" x14ac:dyDescent="0.25">
      <c r="A1223" s="25"/>
      <c r="B1223" s="25"/>
      <c r="C1223" s="508">
        <v>65</v>
      </c>
      <c r="D1223" s="508"/>
      <c r="E1223" s="513" t="s">
        <v>1766</v>
      </c>
      <c r="F1223" s="513"/>
      <c r="G1223" s="513"/>
      <c r="H1223" s="513"/>
      <c r="I1223" s="513"/>
      <c r="J1223" s="512" t="s">
        <v>1633</v>
      </c>
      <c r="K1223" s="512"/>
      <c r="L1223" s="512"/>
      <c r="M1223" s="512"/>
      <c r="N1223" s="512"/>
      <c r="O1223" s="512"/>
      <c r="P1223" s="512"/>
      <c r="Q1223" s="512"/>
      <c r="R1223" s="512"/>
      <c r="S1223" s="512"/>
      <c r="T1223" s="512"/>
      <c r="U1223" s="512"/>
      <c r="V1223" s="512"/>
      <c r="W1223" s="512"/>
      <c r="X1223" s="512"/>
      <c r="Y1223" s="507" t="s">
        <v>1487</v>
      </c>
      <c r="Z1223" s="507"/>
      <c r="AA1223" s="507"/>
      <c r="AB1223" s="507" t="s">
        <v>1488</v>
      </c>
      <c r="AC1223" s="507"/>
      <c r="AD1223" s="507"/>
      <c r="AE1223" s="507">
        <v>200</v>
      </c>
      <c r="AF1223" s="507"/>
      <c r="AG1223" s="507"/>
      <c r="AH1223" s="507">
        <v>40</v>
      </c>
      <c r="AI1223" s="507"/>
      <c r="AJ1223" s="507"/>
      <c r="AK1223" s="507" t="s">
        <v>423</v>
      </c>
      <c r="AL1223" s="507"/>
      <c r="AM1223" s="507"/>
      <c r="AN1223" s="509">
        <f>VLOOKUP(E1223,'Выгрузка из 1С'!$B$4:$K$2000,10,FALSE)</f>
        <v>47500.6</v>
      </c>
      <c r="AO1223" s="509"/>
      <c r="AP1223" s="509"/>
      <c r="AQ1223" s="509"/>
      <c r="AR1223" s="509"/>
      <c r="AS1223" s="509"/>
      <c r="AT1223" s="25"/>
      <c r="AU1223" s="25"/>
      <c r="AV1223" s="25"/>
      <c r="AW1223" s="25"/>
      <c r="AX1223" s="25"/>
    </row>
    <row r="1224" spans="1:50" s="35" customFormat="1" ht="15" customHeight="1" x14ac:dyDescent="0.25">
      <c r="A1224" s="25"/>
      <c r="B1224" s="25"/>
      <c r="C1224" s="508">
        <v>65</v>
      </c>
      <c r="D1224" s="508"/>
      <c r="E1224" s="513" t="s">
        <v>1874</v>
      </c>
      <c r="F1224" s="513"/>
      <c r="G1224" s="513"/>
      <c r="H1224" s="513"/>
      <c r="I1224" s="513"/>
      <c r="J1224" s="512" t="s">
        <v>1634</v>
      </c>
      <c r="K1224" s="512"/>
      <c r="L1224" s="512"/>
      <c r="M1224" s="512"/>
      <c r="N1224" s="512"/>
      <c r="O1224" s="512"/>
      <c r="P1224" s="512"/>
      <c r="Q1224" s="512"/>
      <c r="R1224" s="512"/>
      <c r="S1224" s="512"/>
      <c r="T1224" s="512"/>
      <c r="U1224" s="512"/>
      <c r="V1224" s="512"/>
      <c r="W1224" s="512"/>
      <c r="X1224" s="512"/>
      <c r="Y1224" s="507" t="s">
        <v>1548</v>
      </c>
      <c r="Z1224" s="507"/>
      <c r="AA1224" s="507"/>
      <c r="AB1224" s="507" t="s">
        <v>1488</v>
      </c>
      <c r="AC1224" s="507"/>
      <c r="AD1224" s="507"/>
      <c r="AE1224" s="507">
        <v>200</v>
      </c>
      <c r="AF1224" s="507"/>
      <c r="AG1224" s="507"/>
      <c r="AH1224" s="507">
        <v>25</v>
      </c>
      <c r="AI1224" s="507"/>
      <c r="AJ1224" s="507"/>
      <c r="AK1224" s="507" t="s">
        <v>1555</v>
      </c>
      <c r="AL1224" s="507"/>
      <c r="AM1224" s="507"/>
      <c r="AN1224" s="509">
        <f>VLOOKUP(E1224,'Выгрузка из 1С'!$B$4:$K$2000,10,FALSE)</f>
        <v>23016</v>
      </c>
      <c r="AO1224" s="509"/>
      <c r="AP1224" s="509"/>
      <c r="AQ1224" s="509"/>
      <c r="AR1224" s="509"/>
      <c r="AS1224" s="509"/>
      <c r="AT1224" s="25"/>
      <c r="AU1224" s="25"/>
      <c r="AV1224" s="25"/>
      <c r="AW1224" s="25"/>
      <c r="AX1224" s="25"/>
    </row>
    <row r="1225" spans="1:50" s="35" customFormat="1" ht="15" customHeight="1" x14ac:dyDescent="0.25">
      <c r="A1225" s="25"/>
      <c r="B1225" s="25"/>
      <c r="C1225" s="508">
        <v>65</v>
      </c>
      <c r="D1225" s="508"/>
      <c r="E1225" s="513" t="s">
        <v>1838</v>
      </c>
      <c r="F1225" s="513"/>
      <c r="G1225" s="513"/>
      <c r="H1225" s="513"/>
      <c r="I1225" s="513"/>
      <c r="J1225" s="512" t="s">
        <v>1635</v>
      </c>
      <c r="K1225" s="512"/>
      <c r="L1225" s="512"/>
      <c r="M1225" s="512"/>
      <c r="N1225" s="512"/>
      <c r="O1225" s="512"/>
      <c r="P1225" s="512"/>
      <c r="Q1225" s="512"/>
      <c r="R1225" s="512"/>
      <c r="S1225" s="512"/>
      <c r="T1225" s="512"/>
      <c r="U1225" s="512"/>
      <c r="V1225" s="512"/>
      <c r="W1225" s="512"/>
      <c r="X1225" s="512"/>
      <c r="Y1225" s="507" t="s">
        <v>1548</v>
      </c>
      <c r="Z1225" s="507"/>
      <c r="AA1225" s="507"/>
      <c r="AB1225" s="507" t="s">
        <v>1488</v>
      </c>
      <c r="AC1225" s="507"/>
      <c r="AD1225" s="507"/>
      <c r="AE1225" s="507">
        <v>200</v>
      </c>
      <c r="AF1225" s="507"/>
      <c r="AG1225" s="507"/>
      <c r="AH1225" s="507">
        <v>40</v>
      </c>
      <c r="AI1225" s="507"/>
      <c r="AJ1225" s="507"/>
      <c r="AK1225" s="507" t="s">
        <v>1555</v>
      </c>
      <c r="AL1225" s="507"/>
      <c r="AM1225" s="507"/>
      <c r="AN1225" s="509">
        <f>VLOOKUP(E1225,'Выгрузка из 1С'!$B$4:$K$2000,10,FALSE)</f>
        <v>32480</v>
      </c>
      <c r="AO1225" s="509"/>
      <c r="AP1225" s="509"/>
      <c r="AQ1225" s="509"/>
      <c r="AR1225" s="509"/>
      <c r="AS1225" s="509"/>
      <c r="AT1225" s="25"/>
      <c r="AU1225" s="25"/>
      <c r="AV1225" s="25"/>
      <c r="AW1225" s="25"/>
      <c r="AX1225" s="25"/>
    </row>
    <row r="1226" spans="1:50" s="35" customFormat="1" ht="15" customHeight="1" x14ac:dyDescent="0.25">
      <c r="A1226" s="25"/>
      <c r="B1226" s="25"/>
      <c r="C1226" s="508">
        <v>80</v>
      </c>
      <c r="D1226" s="508"/>
      <c r="E1226" s="513" t="s">
        <v>1773</v>
      </c>
      <c r="F1226" s="513"/>
      <c r="G1226" s="513"/>
      <c r="H1226" s="513"/>
      <c r="I1226" s="513"/>
      <c r="J1226" s="512" t="s">
        <v>1636</v>
      </c>
      <c r="K1226" s="512"/>
      <c r="L1226" s="512"/>
      <c r="M1226" s="512"/>
      <c r="N1226" s="512"/>
      <c r="O1226" s="512"/>
      <c r="P1226" s="512"/>
      <c r="Q1226" s="512"/>
      <c r="R1226" s="512"/>
      <c r="S1226" s="512"/>
      <c r="T1226" s="512"/>
      <c r="U1226" s="512"/>
      <c r="V1226" s="512"/>
      <c r="W1226" s="512"/>
      <c r="X1226" s="512"/>
      <c r="Y1226" s="507" t="s">
        <v>1487</v>
      </c>
      <c r="Z1226" s="507"/>
      <c r="AA1226" s="507"/>
      <c r="AB1226" s="507" t="s">
        <v>1488</v>
      </c>
      <c r="AC1226" s="507"/>
      <c r="AD1226" s="507"/>
      <c r="AE1226" s="507">
        <v>225</v>
      </c>
      <c r="AF1226" s="507"/>
      <c r="AG1226" s="507"/>
      <c r="AH1226" s="507">
        <v>63</v>
      </c>
      <c r="AI1226" s="507"/>
      <c r="AJ1226" s="507"/>
      <c r="AK1226" s="507" t="s">
        <v>423</v>
      </c>
      <c r="AL1226" s="507"/>
      <c r="AM1226" s="507"/>
      <c r="AN1226" s="509">
        <f>VLOOKUP(E1226,'Выгрузка из 1С'!$B$4:$K$2000,10,FALSE)</f>
        <v>38005.800000000003</v>
      </c>
      <c r="AO1226" s="509"/>
      <c r="AP1226" s="509"/>
      <c r="AQ1226" s="509"/>
      <c r="AR1226" s="509"/>
      <c r="AS1226" s="509"/>
      <c r="AT1226" s="25"/>
      <c r="AU1226" s="25"/>
      <c r="AV1226" s="25"/>
      <c r="AW1226" s="25"/>
      <c r="AX1226" s="25"/>
    </row>
    <row r="1227" spans="1:50" s="35" customFormat="1" ht="15" customHeight="1" x14ac:dyDescent="0.25">
      <c r="A1227" s="25"/>
      <c r="B1227" s="25"/>
      <c r="C1227" s="508">
        <v>80</v>
      </c>
      <c r="D1227" s="508"/>
      <c r="E1227" s="513" t="s">
        <v>1765</v>
      </c>
      <c r="F1227" s="513"/>
      <c r="G1227" s="513"/>
      <c r="H1227" s="513"/>
      <c r="I1227" s="513"/>
      <c r="J1227" s="512" t="s">
        <v>1637</v>
      </c>
      <c r="K1227" s="512"/>
      <c r="L1227" s="512"/>
      <c r="M1227" s="512"/>
      <c r="N1227" s="512"/>
      <c r="O1227" s="512"/>
      <c r="P1227" s="512"/>
      <c r="Q1227" s="512"/>
      <c r="R1227" s="512"/>
      <c r="S1227" s="512"/>
      <c r="T1227" s="512"/>
      <c r="U1227" s="512"/>
      <c r="V1227" s="512"/>
      <c r="W1227" s="512"/>
      <c r="X1227" s="512"/>
      <c r="Y1227" s="507" t="s">
        <v>1487</v>
      </c>
      <c r="Z1227" s="507"/>
      <c r="AA1227" s="507"/>
      <c r="AB1227" s="507" t="s">
        <v>1488</v>
      </c>
      <c r="AC1227" s="507"/>
      <c r="AD1227" s="507"/>
      <c r="AE1227" s="507">
        <v>225</v>
      </c>
      <c r="AF1227" s="507"/>
      <c r="AG1227" s="507"/>
      <c r="AH1227" s="507">
        <v>63</v>
      </c>
      <c r="AI1227" s="507"/>
      <c r="AJ1227" s="507"/>
      <c r="AK1227" s="507" t="s">
        <v>423</v>
      </c>
      <c r="AL1227" s="507"/>
      <c r="AM1227" s="507"/>
      <c r="AN1227" s="509">
        <f>VLOOKUP(E1227,'Выгрузка из 1С'!$B$4:$K$2000,10,FALSE)</f>
        <v>49820.4</v>
      </c>
      <c r="AO1227" s="509"/>
      <c r="AP1227" s="509"/>
      <c r="AQ1227" s="509"/>
      <c r="AR1227" s="509"/>
      <c r="AS1227" s="509"/>
      <c r="AT1227" s="25"/>
      <c r="AU1227" s="25"/>
      <c r="AV1227" s="25"/>
      <c r="AW1227" s="25"/>
      <c r="AX1227" s="25"/>
    </row>
    <row r="1228" spans="1:50" s="35" customFormat="1" ht="15" customHeight="1" x14ac:dyDescent="0.25">
      <c r="A1228" s="25"/>
      <c r="B1228" s="25"/>
      <c r="C1228" s="508">
        <v>80</v>
      </c>
      <c r="D1228" s="508"/>
      <c r="E1228" s="513" t="s">
        <v>1871</v>
      </c>
      <c r="F1228" s="513"/>
      <c r="G1228" s="513"/>
      <c r="H1228" s="513"/>
      <c r="I1228" s="513"/>
      <c r="J1228" s="512" t="s">
        <v>1638</v>
      </c>
      <c r="K1228" s="512"/>
      <c r="L1228" s="512"/>
      <c r="M1228" s="512"/>
      <c r="N1228" s="512"/>
      <c r="O1228" s="512"/>
      <c r="P1228" s="512"/>
      <c r="Q1228" s="512"/>
      <c r="R1228" s="512"/>
      <c r="S1228" s="512"/>
      <c r="T1228" s="512"/>
      <c r="U1228" s="512"/>
      <c r="V1228" s="512"/>
      <c r="W1228" s="512"/>
      <c r="X1228" s="512"/>
      <c r="Y1228" s="507" t="s">
        <v>1548</v>
      </c>
      <c r="Z1228" s="507"/>
      <c r="AA1228" s="507"/>
      <c r="AB1228" s="507" t="s">
        <v>1488</v>
      </c>
      <c r="AC1228" s="507"/>
      <c r="AD1228" s="507"/>
      <c r="AE1228" s="507">
        <v>225</v>
      </c>
      <c r="AF1228" s="507"/>
      <c r="AG1228" s="507"/>
      <c r="AH1228" s="507">
        <v>40</v>
      </c>
      <c r="AI1228" s="507"/>
      <c r="AJ1228" s="507"/>
      <c r="AK1228" s="507" t="s">
        <v>1555</v>
      </c>
      <c r="AL1228" s="507"/>
      <c r="AM1228" s="507"/>
      <c r="AN1228" s="509">
        <f>VLOOKUP(E1228,'Выгрузка из 1С'!$B$4:$K$2000,10,FALSE)</f>
        <v>24317</v>
      </c>
      <c r="AO1228" s="509"/>
      <c r="AP1228" s="509"/>
      <c r="AQ1228" s="509"/>
      <c r="AR1228" s="509"/>
      <c r="AS1228" s="509"/>
      <c r="AT1228" s="25"/>
      <c r="AU1228" s="25"/>
      <c r="AV1228" s="25"/>
      <c r="AW1228" s="25"/>
      <c r="AX1228" s="25"/>
    </row>
    <row r="1229" spans="1:50" s="35" customFormat="1" ht="15" customHeight="1" x14ac:dyDescent="0.25">
      <c r="A1229" s="25"/>
      <c r="B1229" s="25"/>
      <c r="C1229" s="508">
        <v>80</v>
      </c>
      <c r="D1229" s="508"/>
      <c r="E1229" s="513" t="s">
        <v>1837</v>
      </c>
      <c r="F1229" s="513"/>
      <c r="G1229" s="513"/>
      <c r="H1229" s="513"/>
      <c r="I1229" s="513"/>
      <c r="J1229" s="512" t="s">
        <v>1639</v>
      </c>
      <c r="K1229" s="512"/>
      <c r="L1229" s="512"/>
      <c r="M1229" s="512"/>
      <c r="N1229" s="512"/>
      <c r="O1229" s="512"/>
      <c r="P1229" s="512"/>
      <c r="Q1229" s="512"/>
      <c r="R1229" s="512"/>
      <c r="S1229" s="512"/>
      <c r="T1229" s="512"/>
      <c r="U1229" s="512"/>
      <c r="V1229" s="512"/>
      <c r="W1229" s="512"/>
      <c r="X1229" s="512"/>
      <c r="Y1229" s="507" t="s">
        <v>1548</v>
      </c>
      <c r="Z1229" s="507"/>
      <c r="AA1229" s="507"/>
      <c r="AB1229" s="507" t="s">
        <v>1488</v>
      </c>
      <c r="AC1229" s="507"/>
      <c r="AD1229" s="507"/>
      <c r="AE1229" s="507">
        <v>225</v>
      </c>
      <c r="AF1229" s="507"/>
      <c r="AG1229" s="507"/>
      <c r="AH1229" s="507">
        <v>63</v>
      </c>
      <c r="AI1229" s="507"/>
      <c r="AJ1229" s="507"/>
      <c r="AK1229" s="507" t="s">
        <v>1555</v>
      </c>
      <c r="AL1229" s="507"/>
      <c r="AM1229" s="507"/>
      <c r="AN1229" s="509">
        <f>VLOOKUP(E1229,'Выгрузка из 1С'!$B$4:$K$2000,10,FALSE)</f>
        <v>34370</v>
      </c>
      <c r="AO1229" s="509"/>
      <c r="AP1229" s="509"/>
      <c r="AQ1229" s="509"/>
      <c r="AR1229" s="509"/>
      <c r="AS1229" s="509"/>
      <c r="AT1229" s="25"/>
      <c r="AU1229" s="25"/>
      <c r="AV1229" s="25"/>
      <c r="AW1229" s="25"/>
      <c r="AX1229" s="25"/>
    </row>
    <row r="1230" spans="1:50" s="35" customFormat="1" ht="15" customHeight="1" x14ac:dyDescent="0.25">
      <c r="A1230" s="25"/>
      <c r="B1230" s="25"/>
      <c r="C1230" s="508">
        <v>80</v>
      </c>
      <c r="D1230" s="508"/>
      <c r="E1230" s="513" t="s">
        <v>1819</v>
      </c>
      <c r="F1230" s="513"/>
      <c r="G1230" s="513"/>
      <c r="H1230" s="513"/>
      <c r="I1230" s="513"/>
      <c r="J1230" s="512" t="s">
        <v>1640</v>
      </c>
      <c r="K1230" s="512"/>
      <c r="L1230" s="512"/>
      <c r="M1230" s="512"/>
      <c r="N1230" s="512"/>
      <c r="O1230" s="512"/>
      <c r="P1230" s="512"/>
      <c r="Q1230" s="512"/>
      <c r="R1230" s="512"/>
      <c r="S1230" s="512"/>
      <c r="T1230" s="512"/>
      <c r="U1230" s="512"/>
      <c r="V1230" s="512"/>
      <c r="W1230" s="512"/>
      <c r="X1230" s="512"/>
      <c r="Y1230" s="507" t="s">
        <v>1548</v>
      </c>
      <c r="Z1230" s="507"/>
      <c r="AA1230" s="507"/>
      <c r="AB1230" s="507" t="s">
        <v>1488</v>
      </c>
      <c r="AC1230" s="507"/>
      <c r="AD1230" s="507"/>
      <c r="AE1230" s="507">
        <v>225</v>
      </c>
      <c r="AF1230" s="507"/>
      <c r="AG1230" s="507"/>
      <c r="AH1230" s="507">
        <v>63</v>
      </c>
      <c r="AI1230" s="507"/>
      <c r="AJ1230" s="507"/>
      <c r="AK1230" s="507" t="s">
        <v>1555</v>
      </c>
      <c r="AL1230" s="507"/>
      <c r="AM1230" s="507"/>
      <c r="AN1230" s="509">
        <f>VLOOKUP(E1230,'Выгрузка из 1С'!$B$4:$K$2000,10,FALSE)</f>
        <v>34370</v>
      </c>
      <c r="AO1230" s="509"/>
      <c r="AP1230" s="509"/>
      <c r="AQ1230" s="509"/>
      <c r="AR1230" s="509"/>
      <c r="AS1230" s="509"/>
      <c r="AT1230" s="25"/>
      <c r="AU1230" s="25"/>
      <c r="AV1230" s="25"/>
      <c r="AW1230" s="25"/>
      <c r="AX1230" s="25"/>
    </row>
    <row r="1231" spans="1:50" s="35" customFormat="1" ht="15" customHeight="1" x14ac:dyDescent="0.25">
      <c r="A1231" s="25"/>
      <c r="B1231" s="25"/>
      <c r="C1231" s="508">
        <v>100</v>
      </c>
      <c r="D1231" s="508"/>
      <c r="E1231" s="513" t="s">
        <v>1785</v>
      </c>
      <c r="F1231" s="513"/>
      <c r="G1231" s="513"/>
      <c r="H1231" s="513"/>
      <c r="I1231" s="513"/>
      <c r="J1231" s="512" t="s">
        <v>1641</v>
      </c>
      <c r="K1231" s="512"/>
      <c r="L1231" s="512"/>
      <c r="M1231" s="512"/>
      <c r="N1231" s="512"/>
      <c r="O1231" s="512"/>
      <c r="P1231" s="512"/>
      <c r="Q1231" s="512"/>
      <c r="R1231" s="512"/>
      <c r="S1231" s="512"/>
      <c r="T1231" s="512"/>
      <c r="U1231" s="512"/>
      <c r="V1231" s="512"/>
      <c r="W1231" s="512"/>
      <c r="X1231" s="512"/>
      <c r="Y1231" s="507" t="s">
        <v>1487</v>
      </c>
      <c r="Z1231" s="507"/>
      <c r="AA1231" s="507"/>
      <c r="AB1231" s="507" t="s">
        <v>1488</v>
      </c>
      <c r="AC1231" s="507"/>
      <c r="AD1231" s="507"/>
      <c r="AE1231" s="507">
        <v>250</v>
      </c>
      <c r="AF1231" s="507"/>
      <c r="AG1231" s="507"/>
      <c r="AH1231" s="507">
        <v>100</v>
      </c>
      <c r="AI1231" s="507"/>
      <c r="AJ1231" s="507"/>
      <c r="AK1231" s="507" t="s">
        <v>423</v>
      </c>
      <c r="AL1231" s="507"/>
      <c r="AM1231" s="507"/>
      <c r="AN1231" s="509">
        <f>VLOOKUP(E1231,'Выгрузка из 1С'!$B$4:$K$2000,10,FALSE)</f>
        <v>41014.400000000001</v>
      </c>
      <c r="AO1231" s="509"/>
      <c r="AP1231" s="509"/>
      <c r="AQ1231" s="509"/>
      <c r="AR1231" s="509"/>
      <c r="AS1231" s="509"/>
      <c r="AT1231" s="25"/>
      <c r="AU1231" s="25"/>
      <c r="AV1231" s="25"/>
      <c r="AW1231" s="25"/>
      <c r="AX1231" s="25"/>
    </row>
    <row r="1232" spans="1:50" s="35" customFormat="1" ht="15" customHeight="1" x14ac:dyDescent="0.25">
      <c r="A1232" s="25"/>
      <c r="B1232" s="25"/>
      <c r="C1232" s="508">
        <v>100</v>
      </c>
      <c r="D1232" s="508"/>
      <c r="E1232" s="513" t="s">
        <v>1772</v>
      </c>
      <c r="F1232" s="513"/>
      <c r="G1232" s="513"/>
      <c r="H1232" s="513"/>
      <c r="I1232" s="513"/>
      <c r="J1232" s="512" t="s">
        <v>1642</v>
      </c>
      <c r="K1232" s="512"/>
      <c r="L1232" s="512"/>
      <c r="M1232" s="512"/>
      <c r="N1232" s="512"/>
      <c r="O1232" s="512"/>
      <c r="P1232" s="512"/>
      <c r="Q1232" s="512"/>
      <c r="R1232" s="512"/>
      <c r="S1232" s="512"/>
      <c r="T1232" s="512"/>
      <c r="U1232" s="512"/>
      <c r="V1232" s="512"/>
      <c r="W1232" s="512"/>
      <c r="X1232" s="512"/>
      <c r="Y1232" s="507" t="s">
        <v>1487</v>
      </c>
      <c r="Z1232" s="507"/>
      <c r="AA1232" s="507"/>
      <c r="AB1232" s="507" t="s">
        <v>1488</v>
      </c>
      <c r="AC1232" s="507"/>
      <c r="AD1232" s="507"/>
      <c r="AE1232" s="507">
        <v>250</v>
      </c>
      <c r="AF1232" s="507"/>
      <c r="AG1232" s="507"/>
      <c r="AH1232" s="507">
        <v>100</v>
      </c>
      <c r="AI1232" s="507"/>
      <c r="AJ1232" s="507"/>
      <c r="AK1232" s="507" t="s">
        <v>423</v>
      </c>
      <c r="AL1232" s="507"/>
      <c r="AM1232" s="507"/>
      <c r="AN1232" s="509">
        <f>VLOOKUP(E1232,'Выгрузка из 1С'!$B$4:$K$2000,10,FALSE)</f>
        <v>52672.2</v>
      </c>
      <c r="AO1232" s="509"/>
      <c r="AP1232" s="509"/>
      <c r="AQ1232" s="509"/>
      <c r="AR1232" s="509"/>
      <c r="AS1232" s="509"/>
      <c r="AT1232" s="25"/>
      <c r="AU1232" s="25"/>
      <c r="AV1232" s="25"/>
      <c r="AW1232" s="25"/>
      <c r="AX1232" s="25"/>
    </row>
    <row r="1233" spans="1:50" s="35" customFormat="1" ht="15" customHeight="1" x14ac:dyDescent="0.25">
      <c r="A1233" s="25"/>
      <c r="B1233" s="25"/>
      <c r="C1233" s="508">
        <v>100</v>
      </c>
      <c r="D1233" s="508"/>
      <c r="E1233" s="513" t="s">
        <v>1868</v>
      </c>
      <c r="F1233" s="513"/>
      <c r="G1233" s="513"/>
      <c r="H1233" s="513"/>
      <c r="I1233" s="513"/>
      <c r="J1233" s="512" t="s">
        <v>1643</v>
      </c>
      <c r="K1233" s="512"/>
      <c r="L1233" s="512"/>
      <c r="M1233" s="512"/>
      <c r="N1233" s="512"/>
      <c r="O1233" s="512"/>
      <c r="P1233" s="512"/>
      <c r="Q1233" s="512"/>
      <c r="R1233" s="512"/>
      <c r="S1233" s="512"/>
      <c r="T1233" s="512"/>
      <c r="U1233" s="512"/>
      <c r="V1233" s="512"/>
      <c r="W1233" s="512"/>
      <c r="X1233" s="512"/>
      <c r="Y1233" s="507" t="s">
        <v>1548</v>
      </c>
      <c r="Z1233" s="507"/>
      <c r="AA1233" s="507"/>
      <c r="AB1233" s="507" t="s">
        <v>1488</v>
      </c>
      <c r="AC1233" s="507"/>
      <c r="AD1233" s="507"/>
      <c r="AE1233" s="507">
        <v>250</v>
      </c>
      <c r="AF1233" s="507"/>
      <c r="AG1233" s="507"/>
      <c r="AH1233" s="507">
        <v>60</v>
      </c>
      <c r="AI1233" s="507"/>
      <c r="AJ1233" s="507"/>
      <c r="AK1233" s="507" t="s">
        <v>1555</v>
      </c>
      <c r="AL1233" s="507"/>
      <c r="AM1233" s="507"/>
      <c r="AN1233" s="509">
        <f>VLOOKUP(E1233,'Выгрузка из 1С'!$B$4:$K$2000,10,FALSE)</f>
        <v>26167</v>
      </c>
      <c r="AO1233" s="509"/>
      <c r="AP1233" s="509"/>
      <c r="AQ1233" s="509"/>
      <c r="AR1233" s="509"/>
      <c r="AS1233" s="509"/>
      <c r="AT1233" s="25"/>
      <c r="AU1233" s="25"/>
      <c r="AV1233" s="25"/>
      <c r="AW1233" s="25"/>
      <c r="AX1233" s="25"/>
    </row>
    <row r="1234" spans="1:50" s="35" customFormat="1" ht="15" customHeight="1" x14ac:dyDescent="0.25">
      <c r="A1234" s="25"/>
      <c r="B1234" s="25"/>
      <c r="C1234" s="508">
        <v>100</v>
      </c>
      <c r="D1234" s="508"/>
      <c r="E1234" s="513" t="s">
        <v>1836</v>
      </c>
      <c r="F1234" s="513"/>
      <c r="G1234" s="513"/>
      <c r="H1234" s="513"/>
      <c r="I1234" s="513"/>
      <c r="J1234" s="512" t="s">
        <v>1644</v>
      </c>
      <c r="K1234" s="512"/>
      <c r="L1234" s="512"/>
      <c r="M1234" s="512"/>
      <c r="N1234" s="512"/>
      <c r="O1234" s="512"/>
      <c r="P1234" s="512"/>
      <c r="Q1234" s="512"/>
      <c r="R1234" s="512"/>
      <c r="S1234" s="512"/>
      <c r="T1234" s="512"/>
      <c r="U1234" s="512"/>
      <c r="V1234" s="512"/>
      <c r="W1234" s="512"/>
      <c r="X1234" s="512"/>
      <c r="Y1234" s="507" t="s">
        <v>1548</v>
      </c>
      <c r="Z1234" s="507"/>
      <c r="AA1234" s="507"/>
      <c r="AB1234" s="507" t="s">
        <v>1488</v>
      </c>
      <c r="AC1234" s="507"/>
      <c r="AD1234" s="507"/>
      <c r="AE1234" s="507">
        <v>250</v>
      </c>
      <c r="AF1234" s="507"/>
      <c r="AG1234" s="507"/>
      <c r="AH1234" s="507">
        <v>100</v>
      </c>
      <c r="AI1234" s="507"/>
      <c r="AJ1234" s="507"/>
      <c r="AK1234" s="507" t="s">
        <v>1555</v>
      </c>
      <c r="AL1234" s="507"/>
      <c r="AM1234" s="507"/>
      <c r="AN1234" s="509">
        <f>VLOOKUP(E1234,'Выгрузка из 1С'!$B$4:$K$2000,10,FALSE)</f>
        <v>37380</v>
      </c>
      <c r="AO1234" s="509"/>
      <c r="AP1234" s="509"/>
      <c r="AQ1234" s="509"/>
      <c r="AR1234" s="509"/>
      <c r="AS1234" s="509"/>
      <c r="AT1234" s="25"/>
      <c r="AU1234" s="25"/>
      <c r="AV1234" s="25"/>
      <c r="AW1234" s="25"/>
      <c r="AX1234" s="25"/>
    </row>
    <row r="1235" spans="1:50" s="35" customFormat="1" ht="15" customHeight="1" x14ac:dyDescent="0.25">
      <c r="A1235" s="25"/>
      <c r="B1235" s="25"/>
      <c r="C1235" s="508">
        <v>100</v>
      </c>
      <c r="D1235" s="508"/>
      <c r="E1235" s="513" t="s">
        <v>1818</v>
      </c>
      <c r="F1235" s="513"/>
      <c r="G1235" s="513"/>
      <c r="H1235" s="513"/>
      <c r="I1235" s="513"/>
      <c r="J1235" s="512" t="s">
        <v>1645</v>
      </c>
      <c r="K1235" s="512"/>
      <c r="L1235" s="512"/>
      <c r="M1235" s="512"/>
      <c r="N1235" s="512"/>
      <c r="O1235" s="512"/>
      <c r="P1235" s="512"/>
      <c r="Q1235" s="512"/>
      <c r="R1235" s="512"/>
      <c r="S1235" s="512"/>
      <c r="T1235" s="512"/>
      <c r="U1235" s="512"/>
      <c r="V1235" s="512"/>
      <c r="W1235" s="512"/>
      <c r="X1235" s="512"/>
      <c r="Y1235" s="507" t="s">
        <v>1548</v>
      </c>
      <c r="Z1235" s="507"/>
      <c r="AA1235" s="507"/>
      <c r="AB1235" s="507" t="s">
        <v>1488</v>
      </c>
      <c r="AC1235" s="507"/>
      <c r="AD1235" s="507"/>
      <c r="AE1235" s="507">
        <v>250</v>
      </c>
      <c r="AF1235" s="507"/>
      <c r="AG1235" s="507"/>
      <c r="AH1235" s="507">
        <v>100</v>
      </c>
      <c r="AI1235" s="507"/>
      <c r="AJ1235" s="507"/>
      <c r="AK1235" s="507" t="s">
        <v>1555</v>
      </c>
      <c r="AL1235" s="507"/>
      <c r="AM1235" s="507"/>
      <c r="AN1235" s="509">
        <f>VLOOKUP(E1235,'Выгрузка из 1С'!$B$4:$K$2000,10,FALSE)</f>
        <v>37380</v>
      </c>
      <c r="AO1235" s="509"/>
      <c r="AP1235" s="509"/>
      <c r="AQ1235" s="509"/>
      <c r="AR1235" s="509"/>
      <c r="AS1235" s="509"/>
      <c r="AT1235" s="25"/>
      <c r="AU1235" s="25"/>
      <c r="AV1235" s="25"/>
      <c r="AW1235" s="25"/>
      <c r="AX1235" s="25"/>
    </row>
    <row r="1236" spans="1:50" s="35" customFormat="1" ht="15" customHeight="1" x14ac:dyDescent="0.25">
      <c r="A1236" s="25"/>
      <c r="B1236" s="25"/>
      <c r="C1236" s="508">
        <v>125</v>
      </c>
      <c r="D1236" s="508"/>
      <c r="E1236" s="513" t="s">
        <v>1784</v>
      </c>
      <c r="F1236" s="513"/>
      <c r="G1236" s="513"/>
      <c r="H1236" s="513"/>
      <c r="I1236" s="513"/>
      <c r="J1236" s="512" t="s">
        <v>1646</v>
      </c>
      <c r="K1236" s="512"/>
      <c r="L1236" s="512"/>
      <c r="M1236" s="512"/>
      <c r="N1236" s="512"/>
      <c r="O1236" s="512"/>
      <c r="P1236" s="512"/>
      <c r="Q1236" s="512"/>
      <c r="R1236" s="512"/>
      <c r="S1236" s="512"/>
      <c r="T1236" s="512"/>
      <c r="U1236" s="512"/>
      <c r="V1236" s="512"/>
      <c r="W1236" s="512"/>
      <c r="X1236" s="512"/>
      <c r="Y1236" s="507" t="s">
        <v>1487</v>
      </c>
      <c r="Z1236" s="507"/>
      <c r="AA1236" s="507"/>
      <c r="AB1236" s="507" t="s">
        <v>1488</v>
      </c>
      <c r="AC1236" s="507"/>
      <c r="AD1236" s="507"/>
      <c r="AE1236" s="507">
        <v>250</v>
      </c>
      <c r="AF1236" s="507"/>
      <c r="AG1236" s="507"/>
      <c r="AH1236" s="507">
        <v>160</v>
      </c>
      <c r="AI1236" s="507"/>
      <c r="AJ1236" s="507"/>
      <c r="AK1236" s="507" t="s">
        <v>423</v>
      </c>
      <c r="AL1236" s="507"/>
      <c r="AM1236" s="507"/>
      <c r="AN1236" s="509">
        <f>VLOOKUP(E1236,'Выгрузка из 1С'!$B$4:$K$2000,10,FALSE)</f>
        <v>44730</v>
      </c>
      <c r="AO1236" s="509"/>
      <c r="AP1236" s="509"/>
      <c r="AQ1236" s="509"/>
      <c r="AR1236" s="509"/>
      <c r="AS1236" s="509"/>
      <c r="AT1236" s="25"/>
      <c r="AU1236" s="25"/>
      <c r="AV1236" s="25"/>
      <c r="AW1236" s="25"/>
      <c r="AX1236" s="25"/>
    </row>
    <row r="1237" spans="1:50" s="35" customFormat="1" ht="15" customHeight="1" x14ac:dyDescent="0.25">
      <c r="A1237" s="25"/>
      <c r="B1237" s="25"/>
      <c r="C1237" s="508">
        <v>125</v>
      </c>
      <c r="D1237" s="508"/>
      <c r="E1237" s="513" t="s">
        <v>1817</v>
      </c>
      <c r="F1237" s="513"/>
      <c r="G1237" s="513"/>
      <c r="H1237" s="513"/>
      <c r="I1237" s="513"/>
      <c r="J1237" s="512" t="s">
        <v>1647</v>
      </c>
      <c r="K1237" s="512"/>
      <c r="L1237" s="512"/>
      <c r="M1237" s="512"/>
      <c r="N1237" s="512"/>
      <c r="O1237" s="512"/>
      <c r="P1237" s="512"/>
      <c r="Q1237" s="512"/>
      <c r="R1237" s="512"/>
      <c r="S1237" s="512"/>
      <c r="T1237" s="512"/>
      <c r="U1237" s="512"/>
      <c r="V1237" s="512"/>
      <c r="W1237" s="512"/>
      <c r="X1237" s="512"/>
      <c r="Y1237" s="507" t="s">
        <v>1548</v>
      </c>
      <c r="Z1237" s="507"/>
      <c r="AA1237" s="507"/>
      <c r="AB1237" s="507" t="s">
        <v>1488</v>
      </c>
      <c r="AC1237" s="507"/>
      <c r="AD1237" s="507"/>
      <c r="AE1237" s="507">
        <v>250</v>
      </c>
      <c r="AF1237" s="507"/>
      <c r="AG1237" s="507"/>
      <c r="AH1237" s="507">
        <v>160</v>
      </c>
      <c r="AI1237" s="507"/>
      <c r="AJ1237" s="507"/>
      <c r="AK1237" s="507" t="s">
        <v>1555</v>
      </c>
      <c r="AL1237" s="507"/>
      <c r="AM1237" s="507"/>
      <c r="AN1237" s="509">
        <f>VLOOKUP(E1237,'Выгрузка из 1С'!$B$4:$K$2000,10,FALSE)</f>
        <v>42280</v>
      </c>
      <c r="AO1237" s="509"/>
      <c r="AP1237" s="509"/>
      <c r="AQ1237" s="509"/>
      <c r="AR1237" s="509"/>
      <c r="AS1237" s="509"/>
      <c r="AT1237" s="25"/>
      <c r="AU1237" s="25"/>
      <c r="AV1237" s="25"/>
      <c r="AW1237" s="25"/>
      <c r="AX1237" s="25"/>
    </row>
    <row r="1238" spans="1:50" s="35" customFormat="1" ht="15" customHeight="1" x14ac:dyDescent="0.25">
      <c r="A1238" s="25"/>
      <c r="B1238" s="25"/>
      <c r="C1238" s="508">
        <v>125</v>
      </c>
      <c r="D1238" s="508"/>
      <c r="E1238" s="513" t="s">
        <v>1771</v>
      </c>
      <c r="F1238" s="513"/>
      <c r="G1238" s="513"/>
      <c r="H1238" s="513"/>
      <c r="I1238" s="513"/>
      <c r="J1238" s="512" t="s">
        <v>1648</v>
      </c>
      <c r="K1238" s="512"/>
      <c r="L1238" s="512"/>
      <c r="M1238" s="512"/>
      <c r="N1238" s="512"/>
      <c r="O1238" s="512"/>
      <c r="P1238" s="512"/>
      <c r="Q1238" s="512"/>
      <c r="R1238" s="512"/>
      <c r="S1238" s="512"/>
      <c r="T1238" s="512"/>
      <c r="U1238" s="512"/>
      <c r="V1238" s="512"/>
      <c r="W1238" s="512"/>
      <c r="X1238" s="512"/>
      <c r="Y1238" s="507" t="s">
        <v>1487</v>
      </c>
      <c r="Z1238" s="507"/>
      <c r="AA1238" s="507"/>
      <c r="AB1238" s="507" t="s">
        <v>1488</v>
      </c>
      <c r="AC1238" s="507"/>
      <c r="AD1238" s="507"/>
      <c r="AE1238" s="507">
        <v>250</v>
      </c>
      <c r="AF1238" s="507"/>
      <c r="AG1238" s="507"/>
      <c r="AH1238" s="507">
        <v>160</v>
      </c>
      <c r="AI1238" s="507"/>
      <c r="AJ1238" s="507"/>
      <c r="AK1238" s="507" t="s">
        <v>423</v>
      </c>
      <c r="AL1238" s="507"/>
      <c r="AM1238" s="507"/>
      <c r="AN1238" s="509">
        <f>VLOOKUP(E1238,'Выгрузка из 1С'!$B$4:$K$2000,10,FALSE)</f>
        <v>57513.4</v>
      </c>
      <c r="AO1238" s="509"/>
      <c r="AP1238" s="509"/>
      <c r="AQ1238" s="509"/>
      <c r="AR1238" s="509"/>
      <c r="AS1238" s="509"/>
      <c r="AT1238" s="25"/>
      <c r="AU1238" s="25"/>
      <c r="AV1238" s="25"/>
      <c r="AW1238" s="25"/>
      <c r="AX1238" s="25"/>
    </row>
    <row r="1239" spans="1:50" s="35" customFormat="1" ht="15" customHeight="1" x14ac:dyDescent="0.25">
      <c r="A1239" s="25"/>
      <c r="B1239" s="25"/>
      <c r="C1239" s="508">
        <v>125</v>
      </c>
      <c r="D1239" s="508"/>
      <c r="E1239" s="513" t="s">
        <v>1816</v>
      </c>
      <c r="F1239" s="513"/>
      <c r="G1239" s="513"/>
      <c r="H1239" s="513"/>
      <c r="I1239" s="513"/>
      <c r="J1239" s="512" t="s">
        <v>1649</v>
      </c>
      <c r="K1239" s="512"/>
      <c r="L1239" s="512"/>
      <c r="M1239" s="512"/>
      <c r="N1239" s="512"/>
      <c r="O1239" s="512"/>
      <c r="P1239" s="512"/>
      <c r="Q1239" s="512"/>
      <c r="R1239" s="512"/>
      <c r="S1239" s="512"/>
      <c r="T1239" s="512"/>
      <c r="U1239" s="512"/>
      <c r="V1239" s="512"/>
      <c r="W1239" s="512"/>
      <c r="X1239" s="512"/>
      <c r="Y1239" s="507" t="s">
        <v>1548</v>
      </c>
      <c r="Z1239" s="507"/>
      <c r="AA1239" s="507"/>
      <c r="AB1239" s="507" t="s">
        <v>1488</v>
      </c>
      <c r="AC1239" s="507"/>
      <c r="AD1239" s="507"/>
      <c r="AE1239" s="507">
        <v>250</v>
      </c>
      <c r="AF1239" s="507"/>
      <c r="AG1239" s="507"/>
      <c r="AH1239" s="507">
        <v>160</v>
      </c>
      <c r="AI1239" s="507"/>
      <c r="AJ1239" s="507"/>
      <c r="AK1239" s="507" t="s">
        <v>1555</v>
      </c>
      <c r="AL1239" s="507"/>
      <c r="AM1239" s="507"/>
      <c r="AN1239" s="509">
        <f>VLOOKUP(E1239,'Выгрузка из 1С'!$B$4:$K$2000,10,FALSE)</f>
        <v>45780</v>
      </c>
      <c r="AO1239" s="509"/>
      <c r="AP1239" s="509"/>
      <c r="AQ1239" s="509"/>
      <c r="AR1239" s="509"/>
      <c r="AS1239" s="509"/>
      <c r="AT1239" s="25"/>
      <c r="AU1239" s="25"/>
      <c r="AV1239" s="25"/>
      <c r="AW1239" s="25"/>
      <c r="AX1239" s="25"/>
    </row>
    <row r="1240" spans="1:50" s="35" customFormat="1" ht="15" customHeight="1" x14ac:dyDescent="0.25">
      <c r="A1240" s="25"/>
      <c r="B1240" s="25"/>
      <c r="C1240" s="508">
        <v>150</v>
      </c>
      <c r="D1240" s="508"/>
      <c r="E1240" s="513" t="s">
        <v>1782</v>
      </c>
      <c r="F1240" s="513"/>
      <c r="G1240" s="513"/>
      <c r="H1240" s="513"/>
      <c r="I1240" s="513"/>
      <c r="J1240" s="512" t="s">
        <v>1650</v>
      </c>
      <c r="K1240" s="512"/>
      <c r="L1240" s="512"/>
      <c r="M1240" s="512"/>
      <c r="N1240" s="512"/>
      <c r="O1240" s="512"/>
      <c r="P1240" s="512"/>
      <c r="Q1240" s="512"/>
      <c r="R1240" s="512"/>
      <c r="S1240" s="512"/>
      <c r="T1240" s="512"/>
      <c r="U1240" s="512"/>
      <c r="V1240" s="512"/>
      <c r="W1240" s="512"/>
      <c r="X1240" s="512"/>
      <c r="Y1240" s="507" t="s">
        <v>1487</v>
      </c>
      <c r="Z1240" s="507"/>
      <c r="AA1240" s="507"/>
      <c r="AB1240" s="507" t="s">
        <v>1488</v>
      </c>
      <c r="AC1240" s="507"/>
      <c r="AD1240" s="507"/>
      <c r="AE1240" s="507">
        <v>300</v>
      </c>
      <c r="AF1240" s="507"/>
      <c r="AG1240" s="507"/>
      <c r="AH1240" s="507">
        <v>250</v>
      </c>
      <c r="AI1240" s="507"/>
      <c r="AJ1240" s="507"/>
      <c r="AK1240" s="507" t="s">
        <v>423</v>
      </c>
      <c r="AL1240" s="507"/>
      <c r="AM1240" s="507"/>
      <c r="AN1240" s="509">
        <f>VLOOKUP(E1240,'Выгрузка из 1С'!$B$4:$K$2000,10,FALSE)</f>
        <v>140669.20000000001</v>
      </c>
      <c r="AO1240" s="509"/>
      <c r="AP1240" s="509"/>
      <c r="AQ1240" s="509"/>
      <c r="AR1240" s="509"/>
      <c r="AS1240" s="509"/>
      <c r="AT1240" s="25"/>
      <c r="AU1240" s="25"/>
      <c r="AV1240" s="25"/>
      <c r="AW1240" s="25"/>
      <c r="AX1240" s="25"/>
    </row>
    <row r="1241" spans="1:50" s="35" customFormat="1" ht="15" customHeight="1" x14ac:dyDescent="0.25">
      <c r="A1241" s="25"/>
      <c r="B1241" s="25"/>
      <c r="C1241" s="508">
        <v>150</v>
      </c>
      <c r="D1241" s="508"/>
      <c r="E1241" s="513" t="s">
        <v>1815</v>
      </c>
      <c r="F1241" s="513"/>
      <c r="G1241" s="513"/>
      <c r="H1241" s="513"/>
      <c r="I1241" s="513"/>
      <c r="J1241" s="512" t="s">
        <v>1651</v>
      </c>
      <c r="K1241" s="512"/>
      <c r="L1241" s="512"/>
      <c r="M1241" s="512"/>
      <c r="N1241" s="512"/>
      <c r="O1241" s="512"/>
      <c r="P1241" s="512"/>
      <c r="Q1241" s="512"/>
      <c r="R1241" s="512"/>
      <c r="S1241" s="512"/>
      <c r="T1241" s="512"/>
      <c r="U1241" s="512"/>
      <c r="V1241" s="512"/>
      <c r="W1241" s="512"/>
      <c r="X1241" s="512"/>
      <c r="Y1241" s="507" t="s">
        <v>1548</v>
      </c>
      <c r="Z1241" s="507"/>
      <c r="AA1241" s="507"/>
      <c r="AB1241" s="507" t="s">
        <v>1488</v>
      </c>
      <c r="AC1241" s="507"/>
      <c r="AD1241" s="507"/>
      <c r="AE1241" s="507">
        <v>300</v>
      </c>
      <c r="AF1241" s="507"/>
      <c r="AG1241" s="507"/>
      <c r="AH1241" s="507">
        <v>250</v>
      </c>
      <c r="AI1241" s="507"/>
      <c r="AJ1241" s="507"/>
      <c r="AK1241" s="507" t="s">
        <v>1555</v>
      </c>
      <c r="AL1241" s="507"/>
      <c r="AM1241" s="507"/>
      <c r="AN1241" s="509">
        <f>VLOOKUP(E1241,'Выгрузка из 1С'!$B$4:$K$2000,10,FALSE)</f>
        <v>76160</v>
      </c>
      <c r="AO1241" s="509"/>
      <c r="AP1241" s="509"/>
      <c r="AQ1241" s="509"/>
      <c r="AR1241" s="509"/>
      <c r="AS1241" s="509"/>
      <c r="AT1241" s="25"/>
      <c r="AU1241" s="25"/>
      <c r="AV1241" s="25"/>
      <c r="AW1241" s="25"/>
      <c r="AX1241" s="25"/>
    </row>
    <row r="1242" spans="1:50" s="35" customFormat="1" ht="15" customHeight="1" x14ac:dyDescent="0.25">
      <c r="A1242" s="25"/>
      <c r="B1242" s="25"/>
      <c r="C1242" s="508">
        <v>150</v>
      </c>
      <c r="D1242" s="508"/>
      <c r="E1242" s="513" t="s">
        <v>1770</v>
      </c>
      <c r="F1242" s="513"/>
      <c r="G1242" s="513"/>
      <c r="H1242" s="513"/>
      <c r="I1242" s="513"/>
      <c r="J1242" s="512" t="s">
        <v>1652</v>
      </c>
      <c r="K1242" s="512"/>
      <c r="L1242" s="512"/>
      <c r="M1242" s="512"/>
      <c r="N1242" s="512"/>
      <c r="O1242" s="512"/>
      <c r="P1242" s="512"/>
      <c r="Q1242" s="512"/>
      <c r="R1242" s="512"/>
      <c r="S1242" s="512"/>
      <c r="T1242" s="512"/>
      <c r="U1242" s="512"/>
      <c r="V1242" s="512"/>
      <c r="W1242" s="512"/>
      <c r="X1242" s="512"/>
      <c r="Y1242" s="507" t="s">
        <v>1487</v>
      </c>
      <c r="Z1242" s="507"/>
      <c r="AA1242" s="507"/>
      <c r="AB1242" s="507" t="s">
        <v>1488</v>
      </c>
      <c r="AC1242" s="507"/>
      <c r="AD1242" s="507"/>
      <c r="AE1242" s="507">
        <v>300</v>
      </c>
      <c r="AF1242" s="507"/>
      <c r="AG1242" s="507"/>
      <c r="AH1242" s="507">
        <v>250</v>
      </c>
      <c r="AI1242" s="507"/>
      <c r="AJ1242" s="507"/>
      <c r="AK1242" s="507" t="s">
        <v>423</v>
      </c>
      <c r="AL1242" s="507"/>
      <c r="AM1242" s="507"/>
      <c r="AN1242" s="509">
        <f>VLOOKUP(E1242,'Выгрузка из 1С'!$B$4:$K$2000,10,FALSE)</f>
        <v>150866.79999999999</v>
      </c>
      <c r="AO1242" s="509"/>
      <c r="AP1242" s="509"/>
      <c r="AQ1242" s="509"/>
      <c r="AR1242" s="509"/>
      <c r="AS1242" s="509"/>
      <c r="AT1242" s="25"/>
      <c r="AU1242" s="25"/>
      <c r="AV1242" s="25"/>
      <c r="AW1242" s="25"/>
      <c r="AX1242" s="25"/>
    </row>
    <row r="1243" spans="1:50" s="35" customFormat="1" ht="15" customHeight="1" x14ac:dyDescent="0.25">
      <c r="A1243" s="25"/>
      <c r="B1243" s="25"/>
      <c r="C1243" s="508">
        <v>150</v>
      </c>
      <c r="D1243" s="508"/>
      <c r="E1243" s="513" t="s">
        <v>1865</v>
      </c>
      <c r="F1243" s="513"/>
      <c r="G1243" s="513"/>
      <c r="H1243" s="513"/>
      <c r="I1243" s="513"/>
      <c r="J1243" s="512" t="s">
        <v>1653</v>
      </c>
      <c r="K1243" s="512"/>
      <c r="L1243" s="512"/>
      <c r="M1243" s="512"/>
      <c r="N1243" s="512"/>
      <c r="O1243" s="512"/>
      <c r="P1243" s="512"/>
      <c r="Q1243" s="512"/>
      <c r="R1243" s="512"/>
      <c r="S1243" s="512"/>
      <c r="T1243" s="512"/>
      <c r="U1243" s="512"/>
      <c r="V1243" s="512"/>
      <c r="W1243" s="512"/>
      <c r="X1243" s="512"/>
      <c r="Y1243" s="507" t="s">
        <v>1548</v>
      </c>
      <c r="Z1243" s="507"/>
      <c r="AA1243" s="507"/>
      <c r="AB1243" s="507" t="s">
        <v>1488</v>
      </c>
      <c r="AC1243" s="507"/>
      <c r="AD1243" s="507"/>
      <c r="AE1243" s="507">
        <v>300</v>
      </c>
      <c r="AF1243" s="507"/>
      <c r="AG1243" s="507"/>
      <c r="AH1243" s="507">
        <v>150</v>
      </c>
      <c r="AI1243" s="507"/>
      <c r="AJ1243" s="507"/>
      <c r="AK1243" s="507" t="s">
        <v>1555</v>
      </c>
      <c r="AL1243" s="507"/>
      <c r="AM1243" s="507"/>
      <c r="AN1243" s="509">
        <f>VLOOKUP(E1243,'Выгрузка из 1С'!$B$4:$K$2000,10,FALSE)</f>
        <v>51574</v>
      </c>
      <c r="AO1243" s="509"/>
      <c r="AP1243" s="509"/>
      <c r="AQ1243" s="509"/>
      <c r="AR1243" s="509"/>
      <c r="AS1243" s="509"/>
      <c r="AT1243" s="25"/>
      <c r="AU1243" s="25"/>
      <c r="AV1243" s="25"/>
      <c r="AW1243" s="25"/>
      <c r="AX1243" s="25"/>
    </row>
    <row r="1244" spans="1:50" s="35" customFormat="1" ht="15" customHeight="1" x14ac:dyDescent="0.25">
      <c r="A1244" s="25"/>
      <c r="B1244" s="25"/>
      <c r="C1244" s="508">
        <v>150</v>
      </c>
      <c r="D1244" s="508"/>
      <c r="E1244" s="513" t="s">
        <v>1835</v>
      </c>
      <c r="F1244" s="513"/>
      <c r="G1244" s="513"/>
      <c r="H1244" s="513"/>
      <c r="I1244" s="513"/>
      <c r="J1244" s="512" t="s">
        <v>1654</v>
      </c>
      <c r="K1244" s="512"/>
      <c r="L1244" s="512"/>
      <c r="M1244" s="512"/>
      <c r="N1244" s="512"/>
      <c r="O1244" s="512"/>
      <c r="P1244" s="512"/>
      <c r="Q1244" s="512"/>
      <c r="R1244" s="512"/>
      <c r="S1244" s="512"/>
      <c r="T1244" s="512"/>
      <c r="U1244" s="512"/>
      <c r="V1244" s="512"/>
      <c r="W1244" s="512"/>
      <c r="X1244" s="512"/>
      <c r="Y1244" s="507" t="s">
        <v>1548</v>
      </c>
      <c r="Z1244" s="507"/>
      <c r="AA1244" s="507"/>
      <c r="AB1244" s="507" t="s">
        <v>1488</v>
      </c>
      <c r="AC1244" s="507"/>
      <c r="AD1244" s="507"/>
      <c r="AE1244" s="507">
        <v>300</v>
      </c>
      <c r="AF1244" s="507"/>
      <c r="AG1244" s="507"/>
      <c r="AH1244" s="507">
        <v>250</v>
      </c>
      <c r="AI1244" s="507"/>
      <c r="AJ1244" s="507"/>
      <c r="AK1244" s="507" t="s">
        <v>1555</v>
      </c>
      <c r="AL1244" s="507"/>
      <c r="AM1244" s="507"/>
      <c r="AN1244" s="509">
        <f>VLOOKUP(E1244,'Выгрузка из 1С'!$B$4:$K$2000,10,FALSE)</f>
        <v>78820</v>
      </c>
      <c r="AO1244" s="509"/>
      <c r="AP1244" s="509"/>
      <c r="AQ1244" s="509"/>
      <c r="AR1244" s="509"/>
      <c r="AS1244" s="509"/>
      <c r="AT1244" s="25"/>
      <c r="AU1244" s="25"/>
      <c r="AV1244" s="25"/>
      <c r="AW1244" s="25"/>
      <c r="AX1244" s="25"/>
    </row>
    <row r="1245" spans="1:50" s="35" customFormat="1" ht="15" customHeight="1" x14ac:dyDescent="0.25">
      <c r="A1245" s="25"/>
      <c r="B1245" s="25"/>
      <c r="C1245" s="508">
        <v>200</v>
      </c>
      <c r="D1245" s="508"/>
      <c r="E1245" s="513" t="s">
        <v>1707</v>
      </c>
      <c r="F1245" s="513"/>
      <c r="G1245" s="513"/>
      <c r="H1245" s="513"/>
      <c r="I1245" s="513"/>
      <c r="J1245" s="512" t="s">
        <v>1655</v>
      </c>
      <c r="K1245" s="512"/>
      <c r="L1245" s="512"/>
      <c r="M1245" s="512"/>
      <c r="N1245" s="512"/>
      <c r="O1245" s="512"/>
      <c r="P1245" s="512"/>
      <c r="Q1245" s="512"/>
      <c r="R1245" s="512"/>
      <c r="S1245" s="512"/>
      <c r="T1245" s="512"/>
      <c r="U1245" s="512"/>
      <c r="V1245" s="512"/>
      <c r="W1245" s="512"/>
      <c r="X1245" s="512"/>
      <c r="Y1245" s="507" t="s">
        <v>1487</v>
      </c>
      <c r="Z1245" s="507"/>
      <c r="AA1245" s="507"/>
      <c r="AB1245" s="507" t="s">
        <v>1488</v>
      </c>
      <c r="AC1245" s="507"/>
      <c r="AD1245" s="507"/>
      <c r="AE1245" s="507">
        <v>350</v>
      </c>
      <c r="AF1245" s="507"/>
      <c r="AG1245" s="507"/>
      <c r="AH1245" s="507">
        <v>400</v>
      </c>
      <c r="AI1245" s="507"/>
      <c r="AJ1245" s="507"/>
      <c r="AK1245" s="507" t="s">
        <v>423</v>
      </c>
      <c r="AL1245" s="507"/>
      <c r="AM1245" s="507"/>
      <c r="AN1245" s="509">
        <f>VLOOKUP(E1245,'Выгрузка из 1С'!$B$4:$K$2000,10,FALSE)</f>
        <v>171824.8</v>
      </c>
      <c r="AO1245" s="509"/>
      <c r="AP1245" s="509"/>
      <c r="AQ1245" s="509"/>
      <c r="AR1245" s="509"/>
      <c r="AS1245" s="509"/>
      <c r="AT1245" s="25"/>
      <c r="AU1245" s="25"/>
      <c r="AV1245" s="25"/>
      <c r="AW1245" s="25"/>
      <c r="AX1245" s="25"/>
    </row>
    <row r="1246" spans="1:50" s="35" customFormat="1" ht="15" customHeight="1" x14ac:dyDescent="0.25">
      <c r="A1246" s="25"/>
      <c r="B1246" s="25"/>
      <c r="C1246" s="508">
        <v>200</v>
      </c>
      <c r="D1246" s="508"/>
      <c r="E1246" s="513" t="s">
        <v>1814</v>
      </c>
      <c r="F1246" s="513"/>
      <c r="G1246" s="513"/>
      <c r="H1246" s="513"/>
      <c r="I1246" s="513"/>
      <c r="J1246" s="512" t="s">
        <v>1656</v>
      </c>
      <c r="K1246" s="512"/>
      <c r="L1246" s="512"/>
      <c r="M1246" s="512"/>
      <c r="N1246" s="512"/>
      <c r="O1246" s="512"/>
      <c r="P1246" s="512"/>
      <c r="Q1246" s="512"/>
      <c r="R1246" s="512"/>
      <c r="S1246" s="512"/>
      <c r="T1246" s="512"/>
      <c r="U1246" s="512"/>
      <c r="V1246" s="512"/>
      <c r="W1246" s="512"/>
      <c r="X1246" s="512"/>
      <c r="Y1246" s="507" t="s">
        <v>1548</v>
      </c>
      <c r="Z1246" s="507"/>
      <c r="AA1246" s="507"/>
      <c r="AB1246" s="507" t="s">
        <v>1488</v>
      </c>
      <c r="AC1246" s="507"/>
      <c r="AD1246" s="507"/>
      <c r="AE1246" s="507">
        <v>350</v>
      </c>
      <c r="AF1246" s="507"/>
      <c r="AG1246" s="507"/>
      <c r="AH1246" s="507">
        <v>400</v>
      </c>
      <c r="AI1246" s="507"/>
      <c r="AJ1246" s="507"/>
      <c r="AK1246" s="507" t="s">
        <v>1555</v>
      </c>
      <c r="AL1246" s="507"/>
      <c r="AM1246" s="507"/>
      <c r="AN1246" s="509">
        <f>VLOOKUP(E1246,'Выгрузка из 1С'!$B$4:$K$2000,10,FALSE)</f>
        <v>113260</v>
      </c>
      <c r="AO1246" s="509"/>
      <c r="AP1246" s="509"/>
      <c r="AQ1246" s="509"/>
      <c r="AR1246" s="509"/>
      <c r="AS1246" s="509"/>
      <c r="AT1246" s="25"/>
      <c r="AU1246" s="25"/>
      <c r="AV1246" s="25"/>
      <c r="AW1246" s="25"/>
      <c r="AX1246" s="25"/>
    </row>
    <row r="1247" spans="1:50" s="35" customFormat="1" ht="15" customHeight="1" x14ac:dyDescent="0.25">
      <c r="A1247" s="25"/>
      <c r="B1247" s="25"/>
      <c r="C1247" s="508">
        <v>200</v>
      </c>
      <c r="D1247" s="508"/>
      <c r="E1247" s="513" t="s">
        <v>1769</v>
      </c>
      <c r="F1247" s="513"/>
      <c r="G1247" s="513"/>
      <c r="H1247" s="513"/>
      <c r="I1247" s="513"/>
      <c r="J1247" s="512" t="s">
        <v>1657</v>
      </c>
      <c r="K1247" s="512"/>
      <c r="L1247" s="512"/>
      <c r="M1247" s="512"/>
      <c r="N1247" s="512"/>
      <c r="O1247" s="512"/>
      <c r="P1247" s="512"/>
      <c r="Q1247" s="512"/>
      <c r="R1247" s="512"/>
      <c r="S1247" s="512"/>
      <c r="T1247" s="512"/>
      <c r="U1247" s="512"/>
      <c r="V1247" s="512"/>
      <c r="W1247" s="512"/>
      <c r="X1247" s="512"/>
      <c r="Y1247" s="507" t="s">
        <v>1487</v>
      </c>
      <c r="Z1247" s="507"/>
      <c r="AA1247" s="507"/>
      <c r="AB1247" s="507" t="s">
        <v>1488</v>
      </c>
      <c r="AC1247" s="507"/>
      <c r="AD1247" s="507"/>
      <c r="AE1247" s="507">
        <v>350</v>
      </c>
      <c r="AF1247" s="507"/>
      <c r="AG1247" s="507"/>
      <c r="AH1247" s="507">
        <v>400</v>
      </c>
      <c r="AI1247" s="507"/>
      <c r="AJ1247" s="507"/>
      <c r="AK1247" s="507" t="s">
        <v>423</v>
      </c>
      <c r="AL1247" s="507"/>
      <c r="AM1247" s="507"/>
      <c r="AN1247" s="509">
        <f>VLOOKUP(E1247,'Выгрузка из 1С'!$B$4:$K$2000,10,FALSE)</f>
        <v>189616</v>
      </c>
      <c r="AO1247" s="509"/>
      <c r="AP1247" s="509"/>
      <c r="AQ1247" s="509"/>
      <c r="AR1247" s="509"/>
      <c r="AS1247" s="509"/>
      <c r="AT1247" s="25"/>
      <c r="AU1247" s="25"/>
      <c r="AV1247" s="25"/>
      <c r="AW1247" s="25"/>
      <c r="AX1247" s="25"/>
    </row>
    <row r="1248" spans="1:50" s="35" customFormat="1" ht="15" customHeight="1" x14ac:dyDescent="0.25">
      <c r="A1248" s="25"/>
      <c r="B1248" s="25"/>
      <c r="C1248" s="508">
        <v>200</v>
      </c>
      <c r="D1248" s="508"/>
      <c r="E1248" s="513" t="s">
        <v>1863</v>
      </c>
      <c r="F1248" s="513"/>
      <c r="G1248" s="513"/>
      <c r="H1248" s="513"/>
      <c r="I1248" s="513"/>
      <c r="J1248" s="512" t="s">
        <v>1658</v>
      </c>
      <c r="K1248" s="512"/>
      <c r="L1248" s="512"/>
      <c r="M1248" s="512"/>
      <c r="N1248" s="512"/>
      <c r="O1248" s="512"/>
      <c r="P1248" s="512"/>
      <c r="Q1248" s="512"/>
      <c r="R1248" s="512"/>
      <c r="S1248" s="512"/>
      <c r="T1248" s="512"/>
      <c r="U1248" s="512"/>
      <c r="V1248" s="512"/>
      <c r="W1248" s="512"/>
      <c r="X1248" s="512"/>
      <c r="Y1248" s="507" t="s">
        <v>1548</v>
      </c>
      <c r="Z1248" s="507"/>
      <c r="AA1248" s="507"/>
      <c r="AB1248" s="507" t="s">
        <v>1488</v>
      </c>
      <c r="AC1248" s="507"/>
      <c r="AD1248" s="507"/>
      <c r="AE1248" s="507">
        <v>350</v>
      </c>
      <c r="AF1248" s="507"/>
      <c r="AG1248" s="507"/>
      <c r="AH1248" s="507">
        <v>250</v>
      </c>
      <c r="AI1248" s="507"/>
      <c r="AJ1248" s="507"/>
      <c r="AK1248" s="507" t="s">
        <v>1555</v>
      </c>
      <c r="AL1248" s="507"/>
      <c r="AM1248" s="507"/>
      <c r="AN1248" s="509">
        <f>VLOOKUP(E1248,'Выгрузка из 1С'!$B$4:$K$2000,10,FALSE)</f>
        <v>77902</v>
      </c>
      <c r="AO1248" s="509"/>
      <c r="AP1248" s="509"/>
      <c r="AQ1248" s="509"/>
      <c r="AR1248" s="509"/>
      <c r="AS1248" s="509"/>
      <c r="AT1248" s="25"/>
      <c r="AU1248" s="25"/>
      <c r="AV1248" s="25"/>
      <c r="AW1248" s="25"/>
      <c r="AX1248" s="25"/>
    </row>
    <row r="1249" spans="1:50" s="35" customFormat="1" ht="15" customHeight="1" x14ac:dyDescent="0.25">
      <c r="A1249" s="25"/>
      <c r="B1249" s="25"/>
      <c r="C1249" s="508">
        <v>200</v>
      </c>
      <c r="D1249" s="508"/>
      <c r="E1249" s="513" t="s">
        <v>1834</v>
      </c>
      <c r="F1249" s="513"/>
      <c r="G1249" s="513"/>
      <c r="H1249" s="513"/>
      <c r="I1249" s="513"/>
      <c r="J1249" s="512" t="s">
        <v>1659</v>
      </c>
      <c r="K1249" s="512"/>
      <c r="L1249" s="512"/>
      <c r="M1249" s="512"/>
      <c r="N1249" s="512"/>
      <c r="O1249" s="512"/>
      <c r="P1249" s="512"/>
      <c r="Q1249" s="512"/>
      <c r="R1249" s="512"/>
      <c r="S1249" s="512"/>
      <c r="T1249" s="512"/>
      <c r="U1249" s="512"/>
      <c r="V1249" s="512"/>
      <c r="W1249" s="512"/>
      <c r="X1249" s="512"/>
      <c r="Y1249" s="507" t="s">
        <v>1548</v>
      </c>
      <c r="Z1249" s="507"/>
      <c r="AA1249" s="507"/>
      <c r="AB1249" s="507" t="s">
        <v>1488</v>
      </c>
      <c r="AC1249" s="507"/>
      <c r="AD1249" s="507"/>
      <c r="AE1249" s="507">
        <v>350</v>
      </c>
      <c r="AF1249" s="507"/>
      <c r="AG1249" s="507"/>
      <c r="AH1249" s="507">
        <v>400</v>
      </c>
      <c r="AI1249" s="507"/>
      <c r="AJ1249" s="507"/>
      <c r="AK1249" s="507" t="s">
        <v>1555</v>
      </c>
      <c r="AL1249" s="507"/>
      <c r="AM1249" s="507"/>
      <c r="AN1249" s="509">
        <f>VLOOKUP(E1249,'Выгрузка из 1С'!$B$4:$K$2000,10,FALSE)</f>
        <v>118090</v>
      </c>
      <c r="AO1249" s="509"/>
      <c r="AP1249" s="509"/>
      <c r="AQ1249" s="509"/>
      <c r="AR1249" s="509"/>
      <c r="AS1249" s="509"/>
      <c r="AT1249" s="25"/>
      <c r="AU1249" s="25"/>
      <c r="AV1249" s="25"/>
      <c r="AW1249" s="25"/>
      <c r="AX1249" s="25"/>
    </row>
    <row r="1250" spans="1:50" s="35" customFormat="1" ht="15" customHeight="1" x14ac:dyDescent="0.25">
      <c r="A1250" s="25"/>
      <c r="B1250" s="25"/>
      <c r="C1250" s="508">
        <v>250</v>
      </c>
      <c r="D1250" s="508"/>
      <c r="E1250" s="513" t="s">
        <v>1779</v>
      </c>
      <c r="F1250" s="513"/>
      <c r="G1250" s="513"/>
      <c r="H1250" s="513"/>
      <c r="I1250" s="513"/>
      <c r="J1250" s="512" t="s">
        <v>1660</v>
      </c>
      <c r="K1250" s="512"/>
      <c r="L1250" s="512"/>
      <c r="M1250" s="512"/>
      <c r="N1250" s="512"/>
      <c r="O1250" s="512"/>
      <c r="P1250" s="512"/>
      <c r="Q1250" s="512"/>
      <c r="R1250" s="512"/>
      <c r="S1250" s="512"/>
      <c r="T1250" s="512"/>
      <c r="U1250" s="512"/>
      <c r="V1250" s="512"/>
      <c r="W1250" s="512"/>
      <c r="X1250" s="512"/>
      <c r="Y1250" s="507" t="s">
        <v>1487</v>
      </c>
      <c r="Z1250" s="507"/>
      <c r="AA1250" s="507"/>
      <c r="AB1250" s="507" t="s">
        <v>1488</v>
      </c>
      <c r="AC1250" s="507"/>
      <c r="AD1250" s="507"/>
      <c r="AE1250" s="507">
        <v>450</v>
      </c>
      <c r="AF1250" s="507"/>
      <c r="AG1250" s="507"/>
      <c r="AH1250" s="507">
        <v>630</v>
      </c>
      <c r="AI1250" s="507"/>
      <c r="AJ1250" s="507"/>
      <c r="AK1250" s="507" t="s">
        <v>423</v>
      </c>
      <c r="AL1250" s="507"/>
      <c r="AM1250" s="507"/>
      <c r="AN1250" s="509">
        <f>VLOOKUP(E1250,'Выгрузка из 1С'!$B$4:$K$2000,10,FALSE)</f>
        <v>277709.59999999998</v>
      </c>
      <c r="AO1250" s="509"/>
      <c r="AP1250" s="509"/>
      <c r="AQ1250" s="509"/>
      <c r="AR1250" s="509"/>
      <c r="AS1250" s="509"/>
      <c r="AT1250" s="25"/>
      <c r="AU1250" s="25"/>
      <c r="AV1250" s="25"/>
      <c r="AW1250" s="25"/>
      <c r="AX1250" s="25"/>
    </row>
    <row r="1251" spans="1:50" s="35" customFormat="1" ht="15" customHeight="1" x14ac:dyDescent="0.25">
      <c r="A1251" s="25"/>
      <c r="B1251" s="25"/>
      <c r="C1251" s="508">
        <v>250</v>
      </c>
      <c r="D1251" s="508"/>
      <c r="E1251" s="513" t="s">
        <v>1768</v>
      </c>
      <c r="F1251" s="513"/>
      <c r="G1251" s="513"/>
      <c r="H1251" s="513"/>
      <c r="I1251" s="513"/>
      <c r="J1251" s="512" t="s">
        <v>1661</v>
      </c>
      <c r="K1251" s="512"/>
      <c r="L1251" s="512"/>
      <c r="M1251" s="512"/>
      <c r="N1251" s="512"/>
      <c r="O1251" s="512"/>
      <c r="P1251" s="512"/>
      <c r="Q1251" s="512"/>
      <c r="R1251" s="512"/>
      <c r="S1251" s="512"/>
      <c r="T1251" s="512"/>
      <c r="U1251" s="512"/>
      <c r="V1251" s="512"/>
      <c r="W1251" s="512"/>
      <c r="X1251" s="512"/>
      <c r="Y1251" s="507" t="s">
        <v>1487</v>
      </c>
      <c r="Z1251" s="507"/>
      <c r="AA1251" s="507"/>
      <c r="AB1251" s="507" t="s">
        <v>1488</v>
      </c>
      <c r="AC1251" s="507"/>
      <c r="AD1251" s="507"/>
      <c r="AE1251" s="507">
        <v>450</v>
      </c>
      <c r="AF1251" s="507"/>
      <c r="AG1251" s="507"/>
      <c r="AH1251" s="507">
        <v>630</v>
      </c>
      <c r="AI1251" s="507"/>
      <c r="AJ1251" s="507"/>
      <c r="AK1251" s="507" t="s">
        <v>423</v>
      </c>
      <c r="AL1251" s="507"/>
      <c r="AM1251" s="507"/>
      <c r="AN1251" s="509">
        <f>VLOOKUP(E1251,'Выгрузка из 1С'!$B$4:$K$2000,10,FALSE)</f>
        <v>303634.8</v>
      </c>
      <c r="AO1251" s="509"/>
      <c r="AP1251" s="509"/>
      <c r="AQ1251" s="509"/>
      <c r="AR1251" s="509"/>
      <c r="AS1251" s="509"/>
      <c r="AT1251" s="25"/>
      <c r="AU1251" s="25"/>
      <c r="AV1251" s="25"/>
      <c r="AW1251" s="25"/>
      <c r="AX1251" s="25"/>
    </row>
    <row r="1252" spans="1:50" s="35" customFormat="1" ht="15" customHeight="1" x14ac:dyDescent="0.25">
      <c r="A1252" s="25"/>
      <c r="B1252" s="25"/>
      <c r="C1252" s="508">
        <v>250</v>
      </c>
      <c r="D1252" s="508"/>
      <c r="E1252" s="513" t="s">
        <v>1833</v>
      </c>
      <c r="F1252" s="513"/>
      <c r="G1252" s="513"/>
      <c r="H1252" s="513"/>
      <c r="I1252" s="513"/>
      <c r="J1252" s="512" t="s">
        <v>1662</v>
      </c>
      <c r="K1252" s="512"/>
      <c r="L1252" s="512"/>
      <c r="M1252" s="512"/>
      <c r="N1252" s="512"/>
      <c r="O1252" s="512"/>
      <c r="P1252" s="512"/>
      <c r="Q1252" s="512"/>
      <c r="R1252" s="512"/>
      <c r="S1252" s="512"/>
      <c r="T1252" s="512"/>
      <c r="U1252" s="512"/>
      <c r="V1252" s="512"/>
      <c r="W1252" s="512"/>
      <c r="X1252" s="512"/>
      <c r="Y1252" s="507" t="s">
        <v>1548</v>
      </c>
      <c r="Z1252" s="507"/>
      <c r="AA1252" s="507"/>
      <c r="AB1252" s="507" t="s">
        <v>1488</v>
      </c>
      <c r="AC1252" s="507"/>
      <c r="AD1252" s="507"/>
      <c r="AE1252" s="507">
        <v>450</v>
      </c>
      <c r="AF1252" s="507"/>
      <c r="AG1252" s="507"/>
      <c r="AH1252" s="507">
        <v>630</v>
      </c>
      <c r="AI1252" s="507"/>
      <c r="AJ1252" s="507"/>
      <c r="AK1252" s="507" t="s">
        <v>1555</v>
      </c>
      <c r="AL1252" s="507"/>
      <c r="AM1252" s="507"/>
      <c r="AN1252" s="509">
        <f>VLOOKUP(E1252,'Выгрузка из 1С'!$B$4:$K$2000,10,FALSE)</f>
        <v>201040</v>
      </c>
      <c r="AO1252" s="509"/>
      <c r="AP1252" s="509"/>
      <c r="AQ1252" s="509"/>
      <c r="AR1252" s="509"/>
      <c r="AS1252" s="509"/>
      <c r="AT1252" s="25"/>
      <c r="AU1252" s="25"/>
      <c r="AV1252" s="25"/>
      <c r="AW1252" s="25"/>
      <c r="AX1252" s="25"/>
    </row>
    <row r="1253" spans="1:50" s="35" customFormat="1" ht="15" customHeight="1" x14ac:dyDescent="0.2">
      <c r="A1253" s="25"/>
      <c r="B1253" s="25"/>
      <c r="C1253" s="738" t="s">
        <v>1917</v>
      </c>
      <c r="D1253" s="738"/>
      <c r="E1253" s="738"/>
      <c r="F1253" s="738"/>
      <c r="G1253" s="738"/>
      <c r="H1253" s="738"/>
      <c r="I1253" s="738"/>
      <c r="J1253" s="738"/>
      <c r="K1253" s="738"/>
      <c r="L1253" s="738"/>
      <c r="M1253" s="738"/>
      <c r="N1253" s="738"/>
      <c r="O1253" s="738"/>
      <c r="P1253" s="738"/>
      <c r="Q1253" s="738"/>
      <c r="R1253" s="738"/>
      <c r="S1253" s="738"/>
      <c r="T1253" s="738"/>
      <c r="U1253" s="738"/>
      <c r="V1253" s="738"/>
      <c r="W1253" s="738"/>
      <c r="X1253" s="738"/>
      <c r="Y1253" s="738"/>
      <c r="Z1253" s="738"/>
      <c r="AA1253" s="738"/>
      <c r="AB1253" s="738"/>
      <c r="AC1253" s="738"/>
      <c r="AD1253" s="738"/>
      <c r="AE1253" s="738"/>
      <c r="AF1253" s="738"/>
      <c r="AG1253" s="738"/>
      <c r="AH1253" s="738"/>
      <c r="AI1253" s="738"/>
      <c r="AJ1253" s="738"/>
      <c r="AK1253" s="738"/>
      <c r="AL1253" s="738"/>
      <c r="AM1253" s="738"/>
      <c r="AN1253" s="738"/>
      <c r="AO1253" s="738"/>
      <c r="AP1253" s="738"/>
      <c r="AQ1253" s="738"/>
      <c r="AR1253" s="738"/>
      <c r="AS1253" s="738"/>
      <c r="AT1253" s="25"/>
      <c r="AU1253" s="25"/>
      <c r="AV1253" s="25"/>
      <c r="AW1253" s="25"/>
      <c r="AX1253" s="25"/>
    </row>
    <row r="1254" spans="1:50" s="35" customFormat="1" ht="15.75" customHeight="1" x14ac:dyDescent="0.25">
      <c r="A1254" s="25"/>
      <c r="B1254" s="25"/>
      <c r="C1254" s="507" t="s">
        <v>306</v>
      </c>
      <c r="D1254" s="507"/>
      <c r="E1254" s="737" t="s">
        <v>1906</v>
      </c>
      <c r="F1254" s="737"/>
      <c r="G1254" s="737"/>
      <c r="H1254" s="737"/>
      <c r="I1254" s="737"/>
      <c r="J1254" s="515" t="s">
        <v>1910</v>
      </c>
      <c r="K1254" s="515"/>
      <c r="L1254" s="515"/>
      <c r="M1254" s="515"/>
      <c r="N1254" s="515"/>
      <c r="O1254" s="515"/>
      <c r="P1254" s="515"/>
      <c r="Q1254" s="515"/>
      <c r="R1254" s="515"/>
      <c r="S1254" s="515"/>
      <c r="T1254" s="515"/>
      <c r="U1254" s="515"/>
      <c r="V1254" s="515"/>
      <c r="W1254" s="515"/>
      <c r="X1254" s="515"/>
      <c r="Y1254" s="515" t="s">
        <v>1907</v>
      </c>
      <c r="Z1254" s="515"/>
      <c r="AA1254" s="515"/>
      <c r="AB1254" s="515" t="s">
        <v>31</v>
      </c>
      <c r="AC1254" s="515"/>
      <c r="AD1254" s="515"/>
      <c r="AE1254" s="515" t="s">
        <v>974</v>
      </c>
      <c r="AF1254" s="515"/>
      <c r="AG1254" s="515"/>
      <c r="AH1254" s="514" t="s">
        <v>1908</v>
      </c>
      <c r="AI1254" s="515"/>
      <c r="AJ1254" s="515"/>
      <c r="AK1254" s="515" t="s">
        <v>1909</v>
      </c>
      <c r="AL1254" s="515"/>
      <c r="AM1254" s="515"/>
      <c r="AN1254" s="513" t="s">
        <v>907</v>
      </c>
      <c r="AO1254" s="513"/>
      <c r="AP1254" s="513"/>
      <c r="AQ1254" s="513"/>
      <c r="AR1254" s="513"/>
      <c r="AS1254" s="513"/>
      <c r="AT1254" s="25"/>
      <c r="AU1254" s="25"/>
      <c r="AV1254" s="25"/>
      <c r="AW1254" s="25"/>
      <c r="AX1254" s="25"/>
    </row>
    <row r="1255" spans="1:50" s="35" customFormat="1" ht="15" customHeight="1" x14ac:dyDescent="0.2">
      <c r="A1255" s="25"/>
      <c r="B1255" s="25"/>
      <c r="C1255" s="739" t="s">
        <v>1914</v>
      </c>
      <c r="D1255" s="739"/>
      <c r="E1255" s="739"/>
      <c r="F1255" s="739"/>
      <c r="G1255" s="739"/>
      <c r="H1255" s="739"/>
      <c r="I1255" s="739"/>
      <c r="J1255" s="739"/>
      <c r="K1255" s="739"/>
      <c r="L1255" s="739"/>
      <c r="M1255" s="739"/>
      <c r="N1255" s="739"/>
      <c r="O1255" s="739"/>
      <c r="P1255" s="739"/>
      <c r="Q1255" s="739"/>
      <c r="R1255" s="739"/>
      <c r="S1255" s="739"/>
      <c r="T1255" s="739"/>
      <c r="U1255" s="739"/>
      <c r="V1255" s="739"/>
      <c r="W1255" s="739"/>
      <c r="X1255" s="739"/>
      <c r="Y1255" s="739"/>
      <c r="Z1255" s="739"/>
      <c r="AA1255" s="739"/>
      <c r="AB1255" s="739"/>
      <c r="AC1255" s="739"/>
      <c r="AD1255" s="739"/>
      <c r="AE1255" s="739"/>
      <c r="AF1255" s="739"/>
      <c r="AG1255" s="739"/>
      <c r="AH1255" s="739"/>
      <c r="AI1255" s="739"/>
      <c r="AJ1255" s="739"/>
      <c r="AK1255" s="739"/>
      <c r="AL1255" s="739"/>
      <c r="AM1255" s="739"/>
      <c r="AN1255" s="739"/>
      <c r="AO1255" s="739"/>
      <c r="AP1255" s="739"/>
      <c r="AQ1255" s="739"/>
      <c r="AR1255" s="739"/>
      <c r="AS1255" s="739"/>
      <c r="AT1255" s="25"/>
      <c r="AU1255" s="25"/>
      <c r="AV1255" s="25"/>
      <c r="AW1255" s="25"/>
      <c r="AX1255" s="25"/>
    </row>
    <row r="1256" spans="1:50" s="35" customFormat="1" ht="15" customHeight="1" x14ac:dyDescent="0.25">
      <c r="A1256" s="25"/>
      <c r="B1256" s="25"/>
      <c r="C1256" s="508">
        <v>50</v>
      </c>
      <c r="D1256" s="508"/>
      <c r="E1256" s="513" t="s">
        <v>1800</v>
      </c>
      <c r="F1256" s="513"/>
      <c r="G1256" s="513"/>
      <c r="H1256" s="513"/>
      <c r="I1256" s="513"/>
      <c r="J1256" s="512" t="s">
        <v>1663</v>
      </c>
      <c r="K1256" s="512"/>
      <c r="L1256" s="512"/>
      <c r="M1256" s="512"/>
      <c r="N1256" s="512"/>
      <c r="O1256" s="512"/>
      <c r="P1256" s="512"/>
      <c r="Q1256" s="512"/>
      <c r="R1256" s="512"/>
      <c r="S1256" s="512"/>
      <c r="T1256" s="512"/>
      <c r="U1256" s="512"/>
      <c r="V1256" s="512"/>
      <c r="W1256" s="512"/>
      <c r="X1256" s="512"/>
      <c r="Y1256" s="507" t="s">
        <v>1487</v>
      </c>
      <c r="Z1256" s="507"/>
      <c r="AA1256" s="507"/>
      <c r="AB1256" s="507" t="s">
        <v>1488</v>
      </c>
      <c r="AC1256" s="507"/>
      <c r="AD1256" s="507"/>
      <c r="AE1256" s="507">
        <v>270</v>
      </c>
      <c r="AF1256" s="507"/>
      <c r="AG1256" s="507"/>
      <c r="AH1256" s="507">
        <v>50</v>
      </c>
      <c r="AI1256" s="507"/>
      <c r="AJ1256" s="507"/>
      <c r="AK1256" s="507" t="s">
        <v>1490</v>
      </c>
      <c r="AL1256" s="507"/>
      <c r="AM1256" s="507"/>
      <c r="AN1256" s="509">
        <f>VLOOKUP(E1256,'Выгрузка из 1С'!$B$4:$K$2000,10,FALSE)</f>
        <v>109092.2</v>
      </c>
      <c r="AO1256" s="509"/>
      <c r="AP1256" s="509"/>
      <c r="AQ1256" s="509"/>
      <c r="AR1256" s="509"/>
      <c r="AS1256" s="509"/>
      <c r="AT1256" s="25"/>
      <c r="AU1256" s="25"/>
      <c r="AV1256" s="25"/>
      <c r="AW1256" s="25"/>
      <c r="AX1256" s="25"/>
    </row>
    <row r="1257" spans="1:50" s="35" customFormat="1" ht="15" customHeight="1" x14ac:dyDescent="0.25">
      <c r="A1257" s="25"/>
      <c r="B1257" s="25"/>
      <c r="C1257" s="508">
        <v>50</v>
      </c>
      <c r="D1257" s="508"/>
      <c r="E1257" s="513" t="s">
        <v>1690</v>
      </c>
      <c r="F1257" s="513"/>
      <c r="G1257" s="513"/>
      <c r="H1257" s="513"/>
      <c r="I1257" s="513"/>
      <c r="J1257" s="512" t="s">
        <v>1664</v>
      </c>
      <c r="K1257" s="512"/>
      <c r="L1257" s="512"/>
      <c r="M1257" s="512"/>
      <c r="N1257" s="512"/>
      <c r="O1257" s="512"/>
      <c r="P1257" s="512"/>
      <c r="Q1257" s="512"/>
      <c r="R1257" s="512"/>
      <c r="S1257" s="512"/>
      <c r="T1257" s="512"/>
      <c r="U1257" s="512"/>
      <c r="V1257" s="512"/>
      <c r="W1257" s="512"/>
      <c r="X1257" s="512"/>
      <c r="Y1257" s="507" t="s">
        <v>1487</v>
      </c>
      <c r="Z1257" s="507"/>
      <c r="AA1257" s="507"/>
      <c r="AB1257" s="507" t="s">
        <v>1488</v>
      </c>
      <c r="AC1257" s="507"/>
      <c r="AD1257" s="507"/>
      <c r="AE1257" s="507">
        <v>270</v>
      </c>
      <c r="AF1257" s="507"/>
      <c r="AG1257" s="507"/>
      <c r="AH1257" s="507">
        <v>50</v>
      </c>
      <c r="AI1257" s="507"/>
      <c r="AJ1257" s="507"/>
      <c r="AK1257" s="507" t="s">
        <v>1490</v>
      </c>
      <c r="AL1257" s="507"/>
      <c r="AM1257" s="507"/>
      <c r="AN1257" s="509">
        <f>VLOOKUP(E1257,'Выгрузка из 1С'!$B$4:$K$2000,10,FALSE)</f>
        <v>111666.8</v>
      </c>
      <c r="AO1257" s="509"/>
      <c r="AP1257" s="509"/>
      <c r="AQ1257" s="509"/>
      <c r="AR1257" s="509"/>
      <c r="AS1257" s="509"/>
      <c r="AT1257" s="25"/>
      <c r="AU1257" s="25"/>
      <c r="AV1257" s="25"/>
      <c r="AW1257" s="25"/>
      <c r="AX1257" s="25"/>
    </row>
    <row r="1258" spans="1:50" s="35" customFormat="1" ht="15" customHeight="1" x14ac:dyDescent="0.25">
      <c r="A1258" s="25"/>
      <c r="B1258" s="25"/>
      <c r="C1258" s="508">
        <v>50</v>
      </c>
      <c r="D1258" s="508"/>
      <c r="E1258" s="513" t="s">
        <v>1793</v>
      </c>
      <c r="F1258" s="513"/>
      <c r="G1258" s="513"/>
      <c r="H1258" s="513"/>
      <c r="I1258" s="513"/>
      <c r="J1258" s="512" t="s">
        <v>1665</v>
      </c>
      <c r="K1258" s="512"/>
      <c r="L1258" s="512"/>
      <c r="M1258" s="512"/>
      <c r="N1258" s="512"/>
      <c r="O1258" s="512"/>
      <c r="P1258" s="512"/>
      <c r="Q1258" s="512"/>
      <c r="R1258" s="512"/>
      <c r="S1258" s="512"/>
      <c r="T1258" s="512"/>
      <c r="U1258" s="512"/>
      <c r="V1258" s="512"/>
      <c r="W1258" s="512"/>
      <c r="X1258" s="512"/>
      <c r="Y1258" s="507" t="s">
        <v>1487</v>
      </c>
      <c r="Z1258" s="507"/>
      <c r="AA1258" s="507"/>
      <c r="AB1258" s="507" t="s">
        <v>1488</v>
      </c>
      <c r="AC1258" s="507"/>
      <c r="AD1258" s="507"/>
      <c r="AE1258" s="507">
        <v>270</v>
      </c>
      <c r="AF1258" s="507"/>
      <c r="AG1258" s="507"/>
      <c r="AH1258" s="507">
        <v>50</v>
      </c>
      <c r="AI1258" s="507"/>
      <c r="AJ1258" s="507"/>
      <c r="AK1258" s="507" t="s">
        <v>1490</v>
      </c>
      <c r="AL1258" s="507"/>
      <c r="AM1258" s="507"/>
      <c r="AN1258" s="509">
        <f>VLOOKUP(E1258,'Выгрузка из 1С'!$B$4:$K$2000,10,FALSE)</f>
        <v>116946.2</v>
      </c>
      <c r="AO1258" s="509"/>
      <c r="AP1258" s="509"/>
      <c r="AQ1258" s="509"/>
      <c r="AR1258" s="509"/>
      <c r="AS1258" s="509"/>
      <c r="AT1258" s="25"/>
      <c r="AU1258" s="25"/>
      <c r="AV1258" s="25"/>
      <c r="AW1258" s="25"/>
      <c r="AX1258" s="25"/>
    </row>
    <row r="1259" spans="1:50" s="35" customFormat="1" ht="15" customHeight="1" x14ac:dyDescent="0.25">
      <c r="A1259" s="25"/>
      <c r="B1259" s="25"/>
      <c r="C1259" s="508">
        <v>50</v>
      </c>
      <c r="D1259" s="508"/>
      <c r="E1259" s="513" t="s">
        <v>1792</v>
      </c>
      <c r="F1259" s="513"/>
      <c r="G1259" s="513"/>
      <c r="H1259" s="513"/>
      <c r="I1259" s="513"/>
      <c r="J1259" s="512" t="s">
        <v>1666</v>
      </c>
      <c r="K1259" s="512"/>
      <c r="L1259" s="512"/>
      <c r="M1259" s="512"/>
      <c r="N1259" s="512"/>
      <c r="O1259" s="512"/>
      <c r="P1259" s="512"/>
      <c r="Q1259" s="512"/>
      <c r="R1259" s="512"/>
      <c r="S1259" s="512"/>
      <c r="T1259" s="512"/>
      <c r="U1259" s="512"/>
      <c r="V1259" s="512"/>
      <c r="W1259" s="512"/>
      <c r="X1259" s="512"/>
      <c r="Y1259" s="507" t="s">
        <v>1487</v>
      </c>
      <c r="Z1259" s="507"/>
      <c r="AA1259" s="507"/>
      <c r="AB1259" s="507" t="s">
        <v>1488</v>
      </c>
      <c r="AC1259" s="507"/>
      <c r="AD1259" s="507"/>
      <c r="AE1259" s="507">
        <v>270</v>
      </c>
      <c r="AF1259" s="507"/>
      <c r="AG1259" s="507"/>
      <c r="AH1259" s="507">
        <v>50</v>
      </c>
      <c r="AI1259" s="507"/>
      <c r="AJ1259" s="507"/>
      <c r="AK1259" s="507" t="s">
        <v>1490</v>
      </c>
      <c r="AL1259" s="507"/>
      <c r="AM1259" s="507"/>
      <c r="AN1259" s="509">
        <f>VLOOKUP(E1259,'Выгрузка из 1С'!$B$4:$K$2000,10,FALSE)</f>
        <v>119520.8</v>
      </c>
      <c r="AO1259" s="509"/>
      <c r="AP1259" s="509"/>
      <c r="AQ1259" s="509"/>
      <c r="AR1259" s="509"/>
      <c r="AS1259" s="509"/>
      <c r="AT1259" s="25"/>
      <c r="AU1259" s="25"/>
      <c r="AV1259" s="25"/>
      <c r="AW1259" s="25"/>
      <c r="AX1259" s="25"/>
    </row>
    <row r="1260" spans="1:50" s="35" customFormat="1" ht="15" customHeight="1" x14ac:dyDescent="0.25">
      <c r="A1260" s="25"/>
      <c r="B1260" s="25"/>
      <c r="C1260" s="508">
        <v>65</v>
      </c>
      <c r="D1260" s="508"/>
      <c r="E1260" s="513" t="s">
        <v>1799</v>
      </c>
      <c r="F1260" s="513"/>
      <c r="G1260" s="513"/>
      <c r="H1260" s="513"/>
      <c r="I1260" s="513"/>
      <c r="J1260" s="512" t="s">
        <v>1667</v>
      </c>
      <c r="K1260" s="512"/>
      <c r="L1260" s="512"/>
      <c r="M1260" s="512"/>
      <c r="N1260" s="512"/>
      <c r="O1260" s="512"/>
      <c r="P1260" s="512"/>
      <c r="Q1260" s="512"/>
      <c r="R1260" s="512"/>
      <c r="S1260" s="512"/>
      <c r="T1260" s="512"/>
      <c r="U1260" s="512"/>
      <c r="V1260" s="512"/>
      <c r="W1260" s="512"/>
      <c r="X1260" s="512"/>
      <c r="Y1260" s="507" t="s">
        <v>1487</v>
      </c>
      <c r="Z1260" s="507"/>
      <c r="AA1260" s="507"/>
      <c r="AB1260" s="507" t="s">
        <v>1488</v>
      </c>
      <c r="AC1260" s="507"/>
      <c r="AD1260" s="507"/>
      <c r="AE1260" s="507">
        <v>300</v>
      </c>
      <c r="AF1260" s="507"/>
      <c r="AG1260" s="507"/>
      <c r="AH1260" s="507">
        <v>60</v>
      </c>
      <c r="AI1260" s="507"/>
      <c r="AJ1260" s="507"/>
      <c r="AK1260" s="507" t="s">
        <v>1490</v>
      </c>
      <c r="AL1260" s="507"/>
      <c r="AM1260" s="507"/>
      <c r="AN1260" s="509">
        <f>VLOOKUP(E1260,'Выгрузка из 1С'!$B$4:$K$2000,10,FALSE)</f>
        <v>171523.8</v>
      </c>
      <c r="AO1260" s="509"/>
      <c r="AP1260" s="509"/>
      <c r="AQ1260" s="509"/>
      <c r="AR1260" s="509"/>
      <c r="AS1260" s="509"/>
      <c r="AT1260" s="25"/>
      <c r="AU1260" s="25"/>
      <c r="AV1260" s="25"/>
      <c r="AW1260" s="25"/>
      <c r="AX1260" s="25"/>
    </row>
    <row r="1261" spans="1:50" s="35" customFormat="1" ht="15" customHeight="1" x14ac:dyDescent="0.25">
      <c r="A1261" s="25"/>
      <c r="B1261" s="25"/>
      <c r="C1261" s="508">
        <v>65</v>
      </c>
      <c r="D1261" s="508"/>
      <c r="E1261" s="513" t="s">
        <v>1689</v>
      </c>
      <c r="F1261" s="513"/>
      <c r="G1261" s="513"/>
      <c r="H1261" s="513"/>
      <c r="I1261" s="513"/>
      <c r="J1261" s="512" t="s">
        <v>1668</v>
      </c>
      <c r="K1261" s="512"/>
      <c r="L1261" s="512"/>
      <c r="M1261" s="512"/>
      <c r="N1261" s="512"/>
      <c r="O1261" s="512"/>
      <c r="P1261" s="512"/>
      <c r="Q1261" s="512"/>
      <c r="R1261" s="512"/>
      <c r="S1261" s="512"/>
      <c r="T1261" s="512"/>
      <c r="U1261" s="512"/>
      <c r="V1261" s="512"/>
      <c r="W1261" s="512"/>
      <c r="X1261" s="512"/>
      <c r="Y1261" s="507" t="s">
        <v>1487</v>
      </c>
      <c r="Z1261" s="507"/>
      <c r="AA1261" s="507"/>
      <c r="AB1261" s="507" t="s">
        <v>1488</v>
      </c>
      <c r="AC1261" s="507"/>
      <c r="AD1261" s="507"/>
      <c r="AE1261" s="507">
        <v>300</v>
      </c>
      <c r="AF1261" s="507"/>
      <c r="AG1261" s="507"/>
      <c r="AH1261" s="507">
        <v>60</v>
      </c>
      <c r="AI1261" s="507"/>
      <c r="AJ1261" s="507"/>
      <c r="AK1261" s="507" t="s">
        <v>1490</v>
      </c>
      <c r="AL1261" s="507"/>
      <c r="AM1261" s="507"/>
      <c r="AN1261" s="509">
        <f>VLOOKUP(E1261,'Выгрузка из 1С'!$B$4:$K$2000,10,FALSE)</f>
        <v>174098.4</v>
      </c>
      <c r="AO1261" s="509"/>
      <c r="AP1261" s="509"/>
      <c r="AQ1261" s="509"/>
      <c r="AR1261" s="509"/>
      <c r="AS1261" s="509"/>
      <c r="AT1261" s="25"/>
      <c r="AU1261" s="25"/>
      <c r="AV1261" s="25"/>
      <c r="AW1261" s="25"/>
      <c r="AX1261" s="25"/>
    </row>
    <row r="1262" spans="1:50" s="35" customFormat="1" ht="15" customHeight="1" x14ac:dyDescent="0.25">
      <c r="A1262" s="25"/>
      <c r="B1262" s="25"/>
      <c r="C1262" s="508">
        <v>65</v>
      </c>
      <c r="D1262" s="508"/>
      <c r="E1262" s="513" t="s">
        <v>1905</v>
      </c>
      <c r="F1262" s="513"/>
      <c r="G1262" s="513"/>
      <c r="H1262" s="513"/>
      <c r="I1262" s="513"/>
      <c r="J1262" s="512" t="s">
        <v>1669</v>
      </c>
      <c r="K1262" s="512"/>
      <c r="L1262" s="512"/>
      <c r="M1262" s="512"/>
      <c r="N1262" s="512"/>
      <c r="O1262" s="512"/>
      <c r="P1262" s="512"/>
      <c r="Q1262" s="512"/>
      <c r="R1262" s="512"/>
      <c r="S1262" s="512"/>
      <c r="T1262" s="512"/>
      <c r="U1262" s="512"/>
      <c r="V1262" s="512"/>
      <c r="W1262" s="512"/>
      <c r="X1262" s="512"/>
      <c r="Y1262" s="507" t="s">
        <v>1487</v>
      </c>
      <c r="Z1262" s="507"/>
      <c r="AA1262" s="507"/>
      <c r="AB1262" s="507" t="s">
        <v>1488</v>
      </c>
      <c r="AC1262" s="507"/>
      <c r="AD1262" s="507"/>
      <c r="AE1262" s="507">
        <v>300</v>
      </c>
      <c r="AF1262" s="507"/>
      <c r="AG1262" s="507"/>
      <c r="AH1262" s="507">
        <v>60</v>
      </c>
      <c r="AI1262" s="507"/>
      <c r="AJ1262" s="507"/>
      <c r="AK1262" s="507" t="s">
        <v>1490</v>
      </c>
      <c r="AL1262" s="507"/>
      <c r="AM1262" s="507"/>
      <c r="AN1262" s="509">
        <f>VLOOKUP(E1262,'Выгрузка из 1С'!$B$4:$K$2000,10,FALSE)</f>
        <v>0</v>
      </c>
      <c r="AO1262" s="509"/>
      <c r="AP1262" s="509"/>
      <c r="AQ1262" s="509"/>
      <c r="AR1262" s="509"/>
      <c r="AS1262" s="509"/>
      <c r="AT1262" s="25"/>
      <c r="AU1262" s="25"/>
      <c r="AV1262" s="25"/>
      <c r="AW1262" s="25"/>
      <c r="AX1262" s="25"/>
    </row>
    <row r="1263" spans="1:50" s="35" customFormat="1" ht="15" customHeight="1" x14ac:dyDescent="0.25">
      <c r="A1263" s="25"/>
      <c r="B1263" s="25"/>
      <c r="C1263" s="508">
        <v>65</v>
      </c>
      <c r="D1263" s="508"/>
      <c r="E1263" s="513" t="s">
        <v>1791</v>
      </c>
      <c r="F1263" s="513"/>
      <c r="G1263" s="513"/>
      <c r="H1263" s="513"/>
      <c r="I1263" s="513"/>
      <c r="J1263" s="512" t="s">
        <v>1670</v>
      </c>
      <c r="K1263" s="512"/>
      <c r="L1263" s="512"/>
      <c r="M1263" s="512"/>
      <c r="N1263" s="512"/>
      <c r="O1263" s="512"/>
      <c r="P1263" s="512"/>
      <c r="Q1263" s="512"/>
      <c r="R1263" s="512"/>
      <c r="S1263" s="512"/>
      <c r="T1263" s="512"/>
      <c r="U1263" s="512"/>
      <c r="V1263" s="512"/>
      <c r="W1263" s="512"/>
      <c r="X1263" s="512"/>
      <c r="Y1263" s="507" t="s">
        <v>1487</v>
      </c>
      <c r="Z1263" s="507"/>
      <c r="AA1263" s="507"/>
      <c r="AB1263" s="507" t="s">
        <v>1488</v>
      </c>
      <c r="AC1263" s="507"/>
      <c r="AD1263" s="507"/>
      <c r="AE1263" s="507">
        <v>300</v>
      </c>
      <c r="AF1263" s="507"/>
      <c r="AG1263" s="507"/>
      <c r="AH1263" s="507">
        <v>60</v>
      </c>
      <c r="AI1263" s="507"/>
      <c r="AJ1263" s="507"/>
      <c r="AK1263" s="507" t="s">
        <v>1490</v>
      </c>
      <c r="AL1263" s="507"/>
      <c r="AM1263" s="507"/>
      <c r="AN1263" s="509">
        <f>VLOOKUP(E1263,'Выгрузка из 1С'!$B$4:$K$2000,10,FALSE)</f>
        <v>181487.6</v>
      </c>
      <c r="AO1263" s="509"/>
      <c r="AP1263" s="509"/>
      <c r="AQ1263" s="509"/>
      <c r="AR1263" s="509"/>
      <c r="AS1263" s="509"/>
      <c r="AT1263" s="25"/>
      <c r="AU1263" s="25"/>
      <c r="AV1263" s="25"/>
      <c r="AW1263" s="25"/>
      <c r="AX1263" s="25"/>
    </row>
    <row r="1264" spans="1:50" s="35" customFormat="1" ht="15" customHeight="1" x14ac:dyDescent="0.25">
      <c r="A1264" s="25"/>
      <c r="B1264" s="25"/>
      <c r="C1264" s="508">
        <v>80</v>
      </c>
      <c r="D1264" s="508"/>
      <c r="E1264" s="513" t="s">
        <v>1798</v>
      </c>
      <c r="F1264" s="513"/>
      <c r="G1264" s="513"/>
      <c r="H1264" s="513"/>
      <c r="I1264" s="513"/>
      <c r="J1264" s="512" t="s">
        <v>1671</v>
      </c>
      <c r="K1264" s="512"/>
      <c r="L1264" s="512"/>
      <c r="M1264" s="512"/>
      <c r="N1264" s="512"/>
      <c r="O1264" s="512"/>
      <c r="P1264" s="512"/>
      <c r="Q1264" s="512"/>
      <c r="R1264" s="512"/>
      <c r="S1264" s="512"/>
      <c r="T1264" s="512"/>
      <c r="U1264" s="512"/>
      <c r="V1264" s="512"/>
      <c r="W1264" s="512"/>
      <c r="X1264" s="512"/>
      <c r="Y1264" s="507" t="s">
        <v>1487</v>
      </c>
      <c r="Z1264" s="507"/>
      <c r="AA1264" s="507"/>
      <c r="AB1264" s="507" t="s">
        <v>1488</v>
      </c>
      <c r="AC1264" s="507"/>
      <c r="AD1264" s="507"/>
      <c r="AE1264" s="507">
        <v>300</v>
      </c>
      <c r="AF1264" s="507"/>
      <c r="AG1264" s="507"/>
      <c r="AH1264" s="507">
        <v>120</v>
      </c>
      <c r="AI1264" s="507"/>
      <c r="AJ1264" s="507"/>
      <c r="AK1264" s="507" t="s">
        <v>1490</v>
      </c>
      <c r="AL1264" s="507"/>
      <c r="AM1264" s="507"/>
      <c r="AN1264" s="509">
        <f>VLOOKUP(E1264,'Выгрузка из 1С'!$B$4:$K$2000,10,FALSE)</f>
        <v>179522</v>
      </c>
      <c r="AO1264" s="509"/>
      <c r="AP1264" s="509"/>
      <c r="AQ1264" s="509"/>
      <c r="AR1264" s="509"/>
      <c r="AS1264" s="509"/>
      <c r="AT1264" s="25"/>
      <c r="AU1264" s="25"/>
      <c r="AV1264" s="25"/>
      <c r="AW1264" s="25"/>
      <c r="AX1264" s="25"/>
    </row>
    <row r="1265" spans="1:50" s="35" customFormat="1" ht="15" customHeight="1" x14ac:dyDescent="0.25">
      <c r="A1265" s="25"/>
      <c r="B1265" s="25"/>
      <c r="C1265" s="508">
        <v>80</v>
      </c>
      <c r="D1265" s="508"/>
      <c r="E1265" s="513" t="s">
        <v>1688</v>
      </c>
      <c r="F1265" s="513"/>
      <c r="G1265" s="513"/>
      <c r="H1265" s="513"/>
      <c r="I1265" s="513"/>
      <c r="J1265" s="512" t="s">
        <v>1672</v>
      </c>
      <c r="K1265" s="512"/>
      <c r="L1265" s="512"/>
      <c r="M1265" s="512"/>
      <c r="N1265" s="512"/>
      <c r="O1265" s="512"/>
      <c r="P1265" s="512"/>
      <c r="Q1265" s="512"/>
      <c r="R1265" s="512"/>
      <c r="S1265" s="512"/>
      <c r="T1265" s="512"/>
      <c r="U1265" s="512"/>
      <c r="V1265" s="512"/>
      <c r="W1265" s="512"/>
      <c r="X1265" s="512"/>
      <c r="Y1265" s="507" t="s">
        <v>1487</v>
      </c>
      <c r="Z1265" s="507"/>
      <c r="AA1265" s="507"/>
      <c r="AB1265" s="507" t="s">
        <v>1488</v>
      </c>
      <c r="AC1265" s="507"/>
      <c r="AD1265" s="507"/>
      <c r="AE1265" s="507">
        <v>300</v>
      </c>
      <c r="AF1265" s="507"/>
      <c r="AG1265" s="507"/>
      <c r="AH1265" s="507">
        <v>120</v>
      </c>
      <c r="AI1265" s="507"/>
      <c r="AJ1265" s="507"/>
      <c r="AK1265" s="507" t="s">
        <v>1490</v>
      </c>
      <c r="AL1265" s="507"/>
      <c r="AM1265" s="507"/>
      <c r="AN1265" s="509">
        <f>VLOOKUP(E1265,'Выгрузка из 1С'!$B$4:$K$2000,10,FALSE)</f>
        <v>182096.6</v>
      </c>
      <c r="AO1265" s="509"/>
      <c r="AP1265" s="509"/>
      <c r="AQ1265" s="509"/>
      <c r="AR1265" s="509"/>
      <c r="AS1265" s="509"/>
      <c r="AT1265" s="25"/>
      <c r="AU1265" s="25"/>
      <c r="AV1265" s="25"/>
      <c r="AW1265" s="25"/>
      <c r="AX1265" s="25"/>
    </row>
    <row r="1266" spans="1:50" s="35" customFormat="1" ht="15" customHeight="1" x14ac:dyDescent="0.25">
      <c r="A1266" s="25"/>
      <c r="B1266" s="25"/>
      <c r="C1266" s="508">
        <v>80</v>
      </c>
      <c r="D1266" s="508"/>
      <c r="E1266" s="513" t="s">
        <v>1790</v>
      </c>
      <c r="F1266" s="513"/>
      <c r="G1266" s="513"/>
      <c r="H1266" s="513"/>
      <c r="I1266" s="513"/>
      <c r="J1266" s="512" t="s">
        <v>1673</v>
      </c>
      <c r="K1266" s="512"/>
      <c r="L1266" s="512"/>
      <c r="M1266" s="512"/>
      <c r="N1266" s="512"/>
      <c r="O1266" s="512"/>
      <c r="P1266" s="512"/>
      <c r="Q1266" s="512"/>
      <c r="R1266" s="512"/>
      <c r="S1266" s="512"/>
      <c r="T1266" s="512"/>
      <c r="U1266" s="512"/>
      <c r="V1266" s="512"/>
      <c r="W1266" s="512"/>
      <c r="X1266" s="512"/>
      <c r="Y1266" s="507" t="s">
        <v>1487</v>
      </c>
      <c r="Z1266" s="507"/>
      <c r="AA1266" s="507"/>
      <c r="AB1266" s="507" t="s">
        <v>1488</v>
      </c>
      <c r="AC1266" s="507"/>
      <c r="AD1266" s="507"/>
      <c r="AE1266" s="507">
        <v>300</v>
      </c>
      <c r="AF1266" s="507"/>
      <c r="AG1266" s="507"/>
      <c r="AH1266" s="507">
        <v>120</v>
      </c>
      <c r="AI1266" s="507"/>
      <c r="AJ1266" s="507"/>
      <c r="AK1266" s="507" t="s">
        <v>1490</v>
      </c>
      <c r="AL1266" s="507"/>
      <c r="AM1266" s="507"/>
      <c r="AN1266" s="509">
        <f>VLOOKUP(E1266,'Выгрузка из 1С'!$B$4:$K$2000,10,FALSE)</f>
        <v>186867.8</v>
      </c>
      <c r="AO1266" s="509"/>
      <c r="AP1266" s="509"/>
      <c r="AQ1266" s="509"/>
      <c r="AR1266" s="509"/>
      <c r="AS1266" s="509"/>
      <c r="AT1266" s="25"/>
      <c r="AU1266" s="25"/>
      <c r="AV1266" s="25"/>
      <c r="AW1266" s="25"/>
      <c r="AX1266" s="25"/>
    </row>
    <row r="1267" spans="1:50" s="35" customFormat="1" ht="15" customHeight="1" x14ac:dyDescent="0.25">
      <c r="A1267" s="25"/>
      <c r="B1267" s="25"/>
      <c r="C1267" s="508">
        <v>80</v>
      </c>
      <c r="D1267" s="508"/>
      <c r="E1267" s="513" t="s">
        <v>1789</v>
      </c>
      <c r="F1267" s="513"/>
      <c r="G1267" s="513"/>
      <c r="H1267" s="513"/>
      <c r="I1267" s="513"/>
      <c r="J1267" s="512" t="s">
        <v>1674</v>
      </c>
      <c r="K1267" s="512"/>
      <c r="L1267" s="512"/>
      <c r="M1267" s="512"/>
      <c r="N1267" s="512"/>
      <c r="O1267" s="512"/>
      <c r="P1267" s="512"/>
      <c r="Q1267" s="512"/>
      <c r="R1267" s="512"/>
      <c r="S1267" s="512"/>
      <c r="T1267" s="512"/>
      <c r="U1267" s="512"/>
      <c r="V1267" s="512"/>
      <c r="W1267" s="512"/>
      <c r="X1267" s="512"/>
      <c r="Y1267" s="507" t="s">
        <v>1487</v>
      </c>
      <c r="Z1267" s="507"/>
      <c r="AA1267" s="507"/>
      <c r="AB1267" s="507" t="s">
        <v>1488</v>
      </c>
      <c r="AC1267" s="507"/>
      <c r="AD1267" s="507"/>
      <c r="AE1267" s="507">
        <v>300</v>
      </c>
      <c r="AF1267" s="507"/>
      <c r="AG1267" s="507"/>
      <c r="AH1267" s="507">
        <v>120</v>
      </c>
      <c r="AI1267" s="507"/>
      <c r="AJ1267" s="507"/>
      <c r="AK1267" s="507" t="s">
        <v>1490</v>
      </c>
      <c r="AL1267" s="507"/>
      <c r="AM1267" s="507"/>
      <c r="AN1267" s="509">
        <f>VLOOKUP(E1267,'Выгрузка из 1С'!$B$4:$K$2000,10,FALSE)</f>
        <v>189442.4</v>
      </c>
      <c r="AO1267" s="509"/>
      <c r="AP1267" s="509"/>
      <c r="AQ1267" s="509"/>
      <c r="AR1267" s="509"/>
      <c r="AS1267" s="509"/>
      <c r="AT1267" s="25"/>
      <c r="AU1267" s="25"/>
      <c r="AV1267" s="25"/>
      <c r="AW1267" s="25"/>
      <c r="AX1267" s="25"/>
    </row>
    <row r="1268" spans="1:50" s="35" customFormat="1" ht="15" customHeight="1" x14ac:dyDescent="0.25">
      <c r="A1268" s="25"/>
      <c r="B1268" s="25"/>
      <c r="C1268" s="508">
        <v>100</v>
      </c>
      <c r="D1268" s="508"/>
      <c r="E1268" s="513" t="s">
        <v>1804</v>
      </c>
      <c r="F1268" s="513"/>
      <c r="G1268" s="513"/>
      <c r="H1268" s="513"/>
      <c r="I1268" s="513"/>
      <c r="J1268" s="512" t="s">
        <v>1675</v>
      </c>
      <c r="K1268" s="512"/>
      <c r="L1268" s="512"/>
      <c r="M1268" s="512"/>
      <c r="N1268" s="512"/>
      <c r="O1268" s="512"/>
      <c r="P1268" s="512"/>
      <c r="Q1268" s="512"/>
      <c r="R1268" s="512"/>
      <c r="S1268" s="512"/>
      <c r="T1268" s="512"/>
      <c r="U1268" s="512"/>
      <c r="V1268" s="512"/>
      <c r="W1268" s="512"/>
      <c r="X1268" s="512"/>
      <c r="Y1268" s="507" t="s">
        <v>1487</v>
      </c>
      <c r="Z1268" s="507"/>
      <c r="AA1268" s="507"/>
      <c r="AB1268" s="507" t="s">
        <v>1488</v>
      </c>
      <c r="AC1268" s="507"/>
      <c r="AD1268" s="507"/>
      <c r="AE1268" s="507">
        <v>360</v>
      </c>
      <c r="AF1268" s="507"/>
      <c r="AG1268" s="507"/>
      <c r="AH1268" s="507">
        <v>230</v>
      </c>
      <c r="AI1268" s="507"/>
      <c r="AJ1268" s="507"/>
      <c r="AK1268" s="507" t="s">
        <v>1490</v>
      </c>
      <c r="AL1268" s="507"/>
      <c r="AM1268" s="507"/>
      <c r="AN1268" s="509">
        <f>VLOOKUP(E1268,'Выгрузка из 1С'!$B$4:$K$2000,10,FALSE)</f>
        <v>198338</v>
      </c>
      <c r="AO1268" s="509"/>
      <c r="AP1268" s="509"/>
      <c r="AQ1268" s="509"/>
      <c r="AR1268" s="509"/>
      <c r="AS1268" s="509"/>
      <c r="AT1268" s="25"/>
      <c r="AU1268" s="25"/>
      <c r="AV1268" s="25"/>
      <c r="AW1268" s="25"/>
      <c r="AX1268" s="25"/>
    </row>
    <row r="1269" spans="1:50" s="35" customFormat="1" ht="15" customHeight="1" x14ac:dyDescent="0.25">
      <c r="A1269" s="25"/>
      <c r="B1269" s="25"/>
      <c r="C1269" s="508">
        <v>100</v>
      </c>
      <c r="D1269" s="508"/>
      <c r="E1269" s="513" t="s">
        <v>1803</v>
      </c>
      <c r="F1269" s="513"/>
      <c r="G1269" s="513"/>
      <c r="H1269" s="513"/>
      <c r="I1269" s="513"/>
      <c r="J1269" s="512" t="s">
        <v>1676</v>
      </c>
      <c r="K1269" s="512"/>
      <c r="L1269" s="512"/>
      <c r="M1269" s="512"/>
      <c r="N1269" s="512"/>
      <c r="O1269" s="512"/>
      <c r="P1269" s="512"/>
      <c r="Q1269" s="512"/>
      <c r="R1269" s="512"/>
      <c r="S1269" s="512"/>
      <c r="T1269" s="512"/>
      <c r="U1269" s="512"/>
      <c r="V1269" s="512"/>
      <c r="W1269" s="512"/>
      <c r="X1269" s="512"/>
      <c r="Y1269" s="507" t="s">
        <v>1487</v>
      </c>
      <c r="Z1269" s="507"/>
      <c r="AA1269" s="507"/>
      <c r="AB1269" s="507" t="s">
        <v>1488</v>
      </c>
      <c r="AC1269" s="507"/>
      <c r="AD1269" s="507"/>
      <c r="AE1269" s="507">
        <v>360</v>
      </c>
      <c r="AF1269" s="507"/>
      <c r="AG1269" s="507"/>
      <c r="AH1269" s="507">
        <v>230</v>
      </c>
      <c r="AI1269" s="507"/>
      <c r="AJ1269" s="507"/>
      <c r="AK1269" s="507" t="s">
        <v>1490</v>
      </c>
      <c r="AL1269" s="507"/>
      <c r="AM1269" s="507"/>
      <c r="AN1269" s="509">
        <f>VLOOKUP(E1269,'Выгрузка из 1С'!$B$4:$K$2000,10,FALSE)</f>
        <v>200912.6</v>
      </c>
      <c r="AO1269" s="509"/>
      <c r="AP1269" s="509"/>
      <c r="AQ1269" s="509"/>
      <c r="AR1269" s="509"/>
      <c r="AS1269" s="509"/>
      <c r="AT1269" s="25"/>
      <c r="AU1269" s="25"/>
      <c r="AV1269" s="25"/>
      <c r="AW1269" s="25"/>
      <c r="AX1269" s="25"/>
    </row>
    <row r="1270" spans="1:50" s="35" customFormat="1" ht="15" customHeight="1" x14ac:dyDescent="0.25">
      <c r="A1270" s="25"/>
      <c r="B1270" s="25"/>
      <c r="C1270" s="508">
        <v>100</v>
      </c>
      <c r="D1270" s="508"/>
      <c r="E1270" s="513" t="s">
        <v>1797</v>
      </c>
      <c r="F1270" s="513"/>
      <c r="G1270" s="513"/>
      <c r="H1270" s="513"/>
      <c r="I1270" s="513"/>
      <c r="J1270" s="512" t="s">
        <v>1677</v>
      </c>
      <c r="K1270" s="512"/>
      <c r="L1270" s="512"/>
      <c r="M1270" s="512"/>
      <c r="N1270" s="512"/>
      <c r="O1270" s="512"/>
      <c r="P1270" s="512"/>
      <c r="Q1270" s="512"/>
      <c r="R1270" s="512"/>
      <c r="S1270" s="512"/>
      <c r="T1270" s="512"/>
      <c r="U1270" s="512"/>
      <c r="V1270" s="512"/>
      <c r="W1270" s="512"/>
      <c r="X1270" s="512"/>
      <c r="Y1270" s="507" t="s">
        <v>1487</v>
      </c>
      <c r="Z1270" s="507"/>
      <c r="AA1270" s="507"/>
      <c r="AB1270" s="507" t="s">
        <v>1488</v>
      </c>
      <c r="AC1270" s="507"/>
      <c r="AD1270" s="507"/>
      <c r="AE1270" s="507">
        <v>360</v>
      </c>
      <c r="AF1270" s="507"/>
      <c r="AG1270" s="507"/>
      <c r="AH1270" s="507">
        <v>230</v>
      </c>
      <c r="AI1270" s="507"/>
      <c r="AJ1270" s="507"/>
      <c r="AK1270" s="507" t="s">
        <v>1490</v>
      </c>
      <c r="AL1270" s="507"/>
      <c r="AM1270" s="507"/>
      <c r="AN1270" s="509">
        <f>VLOOKUP(E1270,'Выгрузка из 1С'!$B$4:$K$2000,10,FALSE)</f>
        <v>205476.6</v>
      </c>
      <c r="AO1270" s="509"/>
      <c r="AP1270" s="509"/>
      <c r="AQ1270" s="509"/>
      <c r="AR1270" s="509"/>
      <c r="AS1270" s="509"/>
      <c r="AT1270" s="25"/>
      <c r="AU1270" s="25"/>
      <c r="AV1270" s="25"/>
      <c r="AW1270" s="25"/>
      <c r="AX1270" s="25"/>
    </row>
    <row r="1271" spans="1:50" s="35" customFormat="1" ht="15" customHeight="1" x14ac:dyDescent="0.25">
      <c r="A1271" s="25"/>
      <c r="B1271" s="25"/>
      <c r="C1271" s="508">
        <v>100</v>
      </c>
      <c r="D1271" s="508"/>
      <c r="E1271" s="513" t="s">
        <v>1796</v>
      </c>
      <c r="F1271" s="513"/>
      <c r="G1271" s="513"/>
      <c r="H1271" s="513"/>
      <c r="I1271" s="513"/>
      <c r="J1271" s="512" t="s">
        <v>1678</v>
      </c>
      <c r="K1271" s="512"/>
      <c r="L1271" s="512"/>
      <c r="M1271" s="512"/>
      <c r="N1271" s="512"/>
      <c r="O1271" s="512"/>
      <c r="P1271" s="512"/>
      <c r="Q1271" s="512"/>
      <c r="R1271" s="512"/>
      <c r="S1271" s="512"/>
      <c r="T1271" s="512"/>
      <c r="U1271" s="512"/>
      <c r="V1271" s="512"/>
      <c r="W1271" s="512"/>
      <c r="X1271" s="512"/>
      <c r="Y1271" s="507" t="s">
        <v>1487</v>
      </c>
      <c r="Z1271" s="507"/>
      <c r="AA1271" s="507"/>
      <c r="AB1271" s="507" t="s">
        <v>1488</v>
      </c>
      <c r="AC1271" s="507"/>
      <c r="AD1271" s="507"/>
      <c r="AE1271" s="507">
        <v>360</v>
      </c>
      <c r="AF1271" s="507"/>
      <c r="AG1271" s="507"/>
      <c r="AH1271" s="507">
        <v>230</v>
      </c>
      <c r="AI1271" s="507"/>
      <c r="AJ1271" s="507"/>
      <c r="AK1271" s="507" t="s">
        <v>1490</v>
      </c>
      <c r="AL1271" s="507"/>
      <c r="AM1271" s="507"/>
      <c r="AN1271" s="509">
        <f>VLOOKUP(E1271,'Выгрузка из 1С'!$B$4:$K$2000,10,FALSE)</f>
        <v>208051.20000000001</v>
      </c>
      <c r="AO1271" s="509"/>
      <c r="AP1271" s="509"/>
      <c r="AQ1271" s="509"/>
      <c r="AR1271" s="509"/>
      <c r="AS1271" s="509"/>
      <c r="AT1271" s="25"/>
      <c r="AU1271" s="25"/>
      <c r="AV1271" s="25"/>
      <c r="AW1271" s="25"/>
      <c r="AX1271" s="25"/>
    </row>
    <row r="1272" spans="1:50" s="35" customFormat="1" ht="15" customHeight="1" x14ac:dyDescent="0.25">
      <c r="A1272" s="25"/>
      <c r="B1272" s="25"/>
      <c r="C1272" s="508">
        <v>150</v>
      </c>
      <c r="D1272" s="508"/>
      <c r="E1272" s="513" t="s">
        <v>1802</v>
      </c>
      <c r="F1272" s="513"/>
      <c r="G1272" s="513"/>
      <c r="H1272" s="513"/>
      <c r="I1272" s="513"/>
      <c r="J1272" s="512" t="s">
        <v>1679</v>
      </c>
      <c r="K1272" s="512"/>
      <c r="L1272" s="512"/>
      <c r="M1272" s="512"/>
      <c r="N1272" s="512"/>
      <c r="O1272" s="512"/>
      <c r="P1272" s="512"/>
      <c r="Q1272" s="512"/>
      <c r="R1272" s="512"/>
      <c r="S1272" s="512"/>
      <c r="T1272" s="512"/>
      <c r="U1272" s="512"/>
      <c r="V1272" s="512"/>
      <c r="W1272" s="512"/>
      <c r="X1272" s="512"/>
      <c r="Y1272" s="507" t="s">
        <v>1487</v>
      </c>
      <c r="Z1272" s="507"/>
      <c r="AA1272" s="507"/>
      <c r="AB1272" s="507" t="s">
        <v>1488</v>
      </c>
      <c r="AC1272" s="507"/>
      <c r="AD1272" s="507"/>
      <c r="AE1272" s="507">
        <v>500</v>
      </c>
      <c r="AF1272" s="507"/>
      <c r="AG1272" s="507"/>
      <c r="AH1272" s="507">
        <v>400</v>
      </c>
      <c r="AI1272" s="507"/>
      <c r="AJ1272" s="507"/>
      <c r="AK1272" s="507" t="s">
        <v>1490</v>
      </c>
      <c r="AL1272" s="507"/>
      <c r="AM1272" s="507"/>
      <c r="AN1272" s="509">
        <f>VLOOKUP(E1272,'Выгрузка из 1С'!$B$4:$K$2000,10,FALSE)</f>
        <v>441994</v>
      </c>
      <c r="AO1272" s="509"/>
      <c r="AP1272" s="509"/>
      <c r="AQ1272" s="509"/>
      <c r="AR1272" s="509"/>
      <c r="AS1272" s="509"/>
      <c r="AT1272" s="25"/>
      <c r="AU1272" s="25"/>
      <c r="AV1272" s="25"/>
      <c r="AW1272" s="25"/>
      <c r="AX1272" s="25"/>
    </row>
    <row r="1273" spans="1:50" s="35" customFormat="1" ht="15" customHeight="1" x14ac:dyDescent="0.25">
      <c r="A1273" s="25"/>
      <c r="B1273" s="25"/>
      <c r="C1273" s="508">
        <v>150</v>
      </c>
      <c r="D1273" s="508"/>
      <c r="E1273" s="513" t="s">
        <v>1801</v>
      </c>
      <c r="F1273" s="513"/>
      <c r="G1273" s="513"/>
      <c r="H1273" s="513"/>
      <c r="I1273" s="513"/>
      <c r="J1273" s="512" t="s">
        <v>1680</v>
      </c>
      <c r="K1273" s="512"/>
      <c r="L1273" s="512"/>
      <c r="M1273" s="512"/>
      <c r="N1273" s="512"/>
      <c r="O1273" s="512"/>
      <c r="P1273" s="512"/>
      <c r="Q1273" s="512"/>
      <c r="R1273" s="512"/>
      <c r="S1273" s="512"/>
      <c r="T1273" s="512"/>
      <c r="U1273" s="512"/>
      <c r="V1273" s="512"/>
      <c r="W1273" s="512"/>
      <c r="X1273" s="512"/>
      <c r="Y1273" s="507" t="s">
        <v>1487</v>
      </c>
      <c r="Z1273" s="507"/>
      <c r="AA1273" s="507"/>
      <c r="AB1273" s="507" t="s">
        <v>1488</v>
      </c>
      <c r="AC1273" s="507"/>
      <c r="AD1273" s="507"/>
      <c r="AE1273" s="507">
        <v>500</v>
      </c>
      <c r="AF1273" s="507"/>
      <c r="AG1273" s="507"/>
      <c r="AH1273" s="507">
        <v>400</v>
      </c>
      <c r="AI1273" s="507"/>
      <c r="AJ1273" s="507"/>
      <c r="AK1273" s="507" t="s">
        <v>1490</v>
      </c>
      <c r="AL1273" s="507"/>
      <c r="AM1273" s="507"/>
      <c r="AN1273" s="509">
        <f>VLOOKUP(E1273,'Выгрузка из 1С'!$B$4:$K$2000,10,FALSE)</f>
        <v>444813.6</v>
      </c>
      <c r="AO1273" s="509"/>
      <c r="AP1273" s="509"/>
      <c r="AQ1273" s="509"/>
      <c r="AR1273" s="509"/>
      <c r="AS1273" s="509"/>
      <c r="AT1273" s="25"/>
      <c r="AU1273" s="25"/>
      <c r="AV1273" s="25"/>
      <c r="AW1273" s="25"/>
      <c r="AX1273" s="25"/>
    </row>
    <row r="1274" spans="1:50" s="35" customFormat="1" ht="15" customHeight="1" x14ac:dyDescent="0.25">
      <c r="A1274" s="25"/>
      <c r="B1274" s="25"/>
      <c r="C1274" s="508">
        <v>150</v>
      </c>
      <c r="D1274" s="508"/>
      <c r="E1274" s="513" t="s">
        <v>1795</v>
      </c>
      <c r="F1274" s="513"/>
      <c r="G1274" s="513"/>
      <c r="H1274" s="513"/>
      <c r="I1274" s="513"/>
      <c r="J1274" s="512" t="s">
        <v>1681</v>
      </c>
      <c r="K1274" s="512"/>
      <c r="L1274" s="512"/>
      <c r="M1274" s="512"/>
      <c r="N1274" s="512"/>
      <c r="O1274" s="512"/>
      <c r="P1274" s="512"/>
      <c r="Q1274" s="512"/>
      <c r="R1274" s="512"/>
      <c r="S1274" s="512"/>
      <c r="T1274" s="512"/>
      <c r="U1274" s="512"/>
      <c r="V1274" s="512"/>
      <c r="W1274" s="512"/>
      <c r="X1274" s="512"/>
      <c r="Y1274" s="507" t="s">
        <v>1487</v>
      </c>
      <c r="Z1274" s="507"/>
      <c r="AA1274" s="507"/>
      <c r="AB1274" s="507" t="s">
        <v>1488</v>
      </c>
      <c r="AC1274" s="507"/>
      <c r="AD1274" s="507"/>
      <c r="AE1274" s="507">
        <v>500</v>
      </c>
      <c r="AF1274" s="507"/>
      <c r="AG1274" s="507"/>
      <c r="AH1274" s="507">
        <v>400</v>
      </c>
      <c r="AI1274" s="507"/>
      <c r="AJ1274" s="507"/>
      <c r="AK1274" s="507" t="s">
        <v>1490</v>
      </c>
      <c r="AL1274" s="507"/>
      <c r="AM1274" s="507"/>
      <c r="AN1274" s="509">
        <f>VLOOKUP(E1274,'Выгрузка из 1С'!$B$4:$K$2000,10,FALSE)</f>
        <v>449552.6</v>
      </c>
      <c r="AO1274" s="509"/>
      <c r="AP1274" s="509"/>
      <c r="AQ1274" s="509"/>
      <c r="AR1274" s="509"/>
      <c r="AS1274" s="509"/>
      <c r="AT1274" s="25"/>
      <c r="AU1274" s="25"/>
      <c r="AV1274" s="25"/>
      <c r="AW1274" s="25"/>
      <c r="AX1274" s="25"/>
    </row>
    <row r="1275" spans="1:50" s="35" customFormat="1" ht="15" customHeight="1" x14ac:dyDescent="0.25">
      <c r="A1275" s="25"/>
      <c r="B1275" s="25"/>
      <c r="C1275" s="508">
        <v>150</v>
      </c>
      <c r="D1275" s="508"/>
      <c r="E1275" s="513" t="s">
        <v>1794</v>
      </c>
      <c r="F1275" s="513"/>
      <c r="G1275" s="513"/>
      <c r="H1275" s="513"/>
      <c r="I1275" s="513"/>
      <c r="J1275" s="512" t="s">
        <v>1682</v>
      </c>
      <c r="K1275" s="512"/>
      <c r="L1275" s="512"/>
      <c r="M1275" s="512"/>
      <c r="N1275" s="512"/>
      <c r="O1275" s="512"/>
      <c r="P1275" s="512"/>
      <c r="Q1275" s="512"/>
      <c r="R1275" s="512"/>
      <c r="S1275" s="512"/>
      <c r="T1275" s="512"/>
      <c r="U1275" s="512"/>
      <c r="V1275" s="512"/>
      <c r="W1275" s="512"/>
      <c r="X1275" s="512"/>
      <c r="Y1275" s="507" t="s">
        <v>1487</v>
      </c>
      <c r="Z1275" s="507"/>
      <c r="AA1275" s="507"/>
      <c r="AB1275" s="507" t="s">
        <v>1488</v>
      </c>
      <c r="AC1275" s="507"/>
      <c r="AD1275" s="507"/>
      <c r="AE1275" s="507">
        <v>500</v>
      </c>
      <c r="AF1275" s="507"/>
      <c r="AG1275" s="507"/>
      <c r="AH1275" s="507">
        <v>400</v>
      </c>
      <c r="AI1275" s="507"/>
      <c r="AJ1275" s="507"/>
      <c r="AK1275" s="507" t="s">
        <v>1490</v>
      </c>
      <c r="AL1275" s="507"/>
      <c r="AM1275" s="507"/>
      <c r="AN1275" s="509">
        <f>VLOOKUP(E1275,'Выгрузка из 1С'!$B$4:$K$2000,10,FALSE)</f>
        <v>452372.2</v>
      </c>
      <c r="AO1275" s="509"/>
      <c r="AP1275" s="509"/>
      <c r="AQ1275" s="509"/>
      <c r="AR1275" s="509"/>
      <c r="AS1275" s="509"/>
      <c r="AT1275" s="25"/>
      <c r="AU1275" s="25"/>
      <c r="AV1275" s="25"/>
      <c r="AW1275" s="25"/>
      <c r="AX1275" s="25"/>
    </row>
    <row r="1276" spans="1:50" s="35" customFormat="1" ht="15" customHeight="1" x14ac:dyDescent="0.2">
      <c r="A1276" s="25"/>
      <c r="B1276" s="25"/>
      <c r="C1276" s="738" t="s">
        <v>1918</v>
      </c>
      <c r="D1276" s="738"/>
      <c r="E1276" s="738"/>
      <c r="F1276" s="738"/>
      <c r="G1276" s="738"/>
      <c r="H1276" s="738"/>
      <c r="I1276" s="738"/>
      <c r="J1276" s="738"/>
      <c r="K1276" s="738"/>
      <c r="L1276" s="738"/>
      <c r="M1276" s="738"/>
      <c r="N1276" s="738"/>
      <c r="O1276" s="738"/>
      <c r="P1276" s="738"/>
      <c r="Q1276" s="738"/>
      <c r="R1276" s="738"/>
      <c r="S1276" s="738"/>
      <c r="T1276" s="738"/>
      <c r="U1276" s="738"/>
      <c r="V1276" s="738"/>
      <c r="W1276" s="738"/>
      <c r="X1276" s="738"/>
      <c r="Y1276" s="738"/>
      <c r="Z1276" s="738"/>
      <c r="AA1276" s="738"/>
      <c r="AB1276" s="738"/>
      <c r="AC1276" s="738"/>
      <c r="AD1276" s="738"/>
      <c r="AE1276" s="738"/>
      <c r="AF1276" s="738"/>
      <c r="AG1276" s="738"/>
      <c r="AH1276" s="738"/>
      <c r="AI1276" s="738"/>
      <c r="AJ1276" s="738"/>
      <c r="AK1276" s="738"/>
      <c r="AL1276" s="738"/>
      <c r="AM1276" s="738"/>
      <c r="AN1276" s="738"/>
      <c r="AO1276" s="738"/>
      <c r="AP1276" s="738"/>
      <c r="AQ1276" s="738"/>
      <c r="AR1276" s="738"/>
      <c r="AS1276" s="738"/>
      <c r="AT1276" s="25"/>
      <c r="AU1276" s="25"/>
      <c r="AV1276" s="25"/>
      <c r="AW1276" s="25"/>
      <c r="AX1276" s="25"/>
    </row>
    <row r="1277" spans="1:50" s="35" customFormat="1" ht="15.75" customHeight="1" x14ac:dyDescent="0.25">
      <c r="A1277" s="25"/>
      <c r="B1277" s="25"/>
      <c r="C1277" s="507" t="s">
        <v>306</v>
      </c>
      <c r="D1277" s="507"/>
      <c r="E1277" s="737" t="s">
        <v>1906</v>
      </c>
      <c r="F1277" s="737"/>
      <c r="G1277" s="737"/>
      <c r="H1277" s="737"/>
      <c r="I1277" s="737"/>
      <c r="J1277" s="515" t="s">
        <v>1910</v>
      </c>
      <c r="K1277" s="515"/>
      <c r="L1277" s="515"/>
      <c r="M1277" s="515"/>
      <c r="N1277" s="515"/>
      <c r="O1277" s="515"/>
      <c r="P1277" s="515"/>
      <c r="Q1277" s="515"/>
      <c r="R1277" s="515"/>
      <c r="S1277" s="515"/>
      <c r="T1277" s="515"/>
      <c r="U1277" s="515"/>
      <c r="V1277" s="515"/>
      <c r="W1277" s="515"/>
      <c r="X1277" s="515"/>
      <c r="Y1277" s="515" t="s">
        <v>1907</v>
      </c>
      <c r="Z1277" s="515"/>
      <c r="AA1277" s="515"/>
      <c r="AB1277" s="515" t="s">
        <v>31</v>
      </c>
      <c r="AC1277" s="515"/>
      <c r="AD1277" s="515"/>
      <c r="AE1277" s="515" t="s">
        <v>974</v>
      </c>
      <c r="AF1277" s="515"/>
      <c r="AG1277" s="515"/>
      <c r="AH1277" s="514" t="s">
        <v>1908</v>
      </c>
      <c r="AI1277" s="515"/>
      <c r="AJ1277" s="515"/>
      <c r="AK1277" s="515" t="s">
        <v>1909</v>
      </c>
      <c r="AL1277" s="515"/>
      <c r="AM1277" s="515"/>
      <c r="AN1277" s="513" t="s">
        <v>907</v>
      </c>
      <c r="AO1277" s="513"/>
      <c r="AP1277" s="513"/>
      <c r="AQ1277" s="513"/>
      <c r="AR1277" s="513"/>
      <c r="AS1277" s="513"/>
      <c r="AT1277" s="25"/>
      <c r="AU1277" s="25"/>
      <c r="AV1277" s="25"/>
      <c r="AW1277" s="25"/>
      <c r="AX1277" s="25"/>
    </row>
    <row r="1278" spans="1:50" s="35" customFormat="1" ht="15" customHeight="1" x14ac:dyDescent="0.2">
      <c r="A1278" s="25"/>
      <c r="B1278" s="25"/>
      <c r="C1278" s="739" t="s">
        <v>1914</v>
      </c>
      <c r="D1278" s="739"/>
      <c r="E1278" s="739"/>
      <c r="F1278" s="739"/>
      <c r="G1278" s="739"/>
      <c r="H1278" s="739"/>
      <c r="I1278" s="739"/>
      <c r="J1278" s="739"/>
      <c r="K1278" s="739"/>
      <c r="L1278" s="739"/>
      <c r="M1278" s="739"/>
      <c r="N1278" s="739"/>
      <c r="O1278" s="739"/>
      <c r="P1278" s="739"/>
      <c r="Q1278" s="739"/>
      <c r="R1278" s="739"/>
      <c r="S1278" s="739"/>
      <c r="T1278" s="739"/>
      <c r="U1278" s="739"/>
      <c r="V1278" s="739"/>
      <c r="W1278" s="739"/>
      <c r="X1278" s="739"/>
      <c r="Y1278" s="739"/>
      <c r="Z1278" s="739"/>
      <c r="AA1278" s="739"/>
      <c r="AB1278" s="739"/>
      <c r="AC1278" s="739"/>
      <c r="AD1278" s="739"/>
      <c r="AE1278" s="739"/>
      <c r="AF1278" s="739"/>
      <c r="AG1278" s="739"/>
      <c r="AH1278" s="739"/>
      <c r="AI1278" s="739"/>
      <c r="AJ1278" s="739"/>
      <c r="AK1278" s="739"/>
      <c r="AL1278" s="739"/>
      <c r="AM1278" s="739"/>
      <c r="AN1278" s="739"/>
      <c r="AO1278" s="739"/>
      <c r="AP1278" s="739"/>
      <c r="AQ1278" s="739"/>
      <c r="AR1278" s="739"/>
      <c r="AS1278" s="739"/>
      <c r="AT1278" s="25"/>
      <c r="AU1278" s="25"/>
      <c r="AV1278" s="25"/>
      <c r="AW1278" s="25"/>
      <c r="AX1278" s="25"/>
    </row>
    <row r="1279" spans="1:50" s="35" customFormat="1" ht="15" customHeight="1" x14ac:dyDescent="0.25">
      <c r="A1279" s="25"/>
      <c r="B1279" s="25"/>
      <c r="C1279" s="508">
        <v>50</v>
      </c>
      <c r="D1279" s="508"/>
      <c r="E1279" s="513" t="s">
        <v>1862</v>
      </c>
      <c r="F1279" s="513"/>
      <c r="G1279" s="513"/>
      <c r="H1279" s="513"/>
      <c r="I1279" s="513"/>
      <c r="J1279" s="512" t="s">
        <v>1683</v>
      </c>
      <c r="K1279" s="512"/>
      <c r="L1279" s="512"/>
      <c r="M1279" s="512"/>
      <c r="N1279" s="512"/>
      <c r="O1279" s="512"/>
      <c r="P1279" s="512"/>
      <c r="Q1279" s="512"/>
      <c r="R1279" s="512"/>
      <c r="S1279" s="512"/>
      <c r="T1279" s="512"/>
      <c r="U1279" s="512"/>
      <c r="V1279" s="512"/>
      <c r="W1279" s="512"/>
      <c r="X1279" s="512"/>
      <c r="Y1279" s="507" t="s">
        <v>1548</v>
      </c>
      <c r="Z1279" s="507"/>
      <c r="AA1279" s="507"/>
      <c r="AB1279" s="507" t="s">
        <v>1488</v>
      </c>
      <c r="AC1279" s="507"/>
      <c r="AD1279" s="507"/>
      <c r="AE1279" s="507">
        <v>280</v>
      </c>
      <c r="AF1279" s="507"/>
      <c r="AG1279" s="507"/>
      <c r="AH1279" s="507">
        <v>40</v>
      </c>
      <c r="AI1279" s="507"/>
      <c r="AJ1279" s="507"/>
      <c r="AK1279" s="507" t="s">
        <v>1490</v>
      </c>
      <c r="AL1279" s="507"/>
      <c r="AM1279" s="507"/>
      <c r="AN1279" s="509">
        <f>VLOOKUP(E1279,'Выгрузка из 1С'!$B$4:$K$2000,10,FALSE)</f>
        <v>96250</v>
      </c>
      <c r="AO1279" s="509"/>
      <c r="AP1279" s="509"/>
      <c r="AQ1279" s="509"/>
      <c r="AR1279" s="509"/>
      <c r="AS1279" s="509"/>
      <c r="AT1279" s="25"/>
      <c r="AU1279" s="25"/>
      <c r="AV1279" s="25"/>
      <c r="AW1279" s="25"/>
      <c r="AX1279" s="25"/>
    </row>
    <row r="1280" spans="1:50" s="35" customFormat="1" ht="15" customHeight="1" x14ac:dyDescent="0.25">
      <c r="A1280" s="25"/>
      <c r="B1280" s="25"/>
      <c r="C1280" s="508">
        <v>65</v>
      </c>
      <c r="D1280" s="508"/>
      <c r="E1280" s="513" t="s">
        <v>1861</v>
      </c>
      <c r="F1280" s="513"/>
      <c r="G1280" s="513"/>
      <c r="H1280" s="513"/>
      <c r="I1280" s="513"/>
      <c r="J1280" s="512" t="s">
        <v>1684</v>
      </c>
      <c r="K1280" s="512"/>
      <c r="L1280" s="512"/>
      <c r="M1280" s="512"/>
      <c r="N1280" s="512"/>
      <c r="O1280" s="512"/>
      <c r="P1280" s="512"/>
      <c r="Q1280" s="512"/>
      <c r="R1280" s="512"/>
      <c r="S1280" s="512"/>
      <c r="T1280" s="512"/>
      <c r="U1280" s="512"/>
      <c r="V1280" s="512"/>
      <c r="W1280" s="512"/>
      <c r="X1280" s="512"/>
      <c r="Y1280" s="507" t="s">
        <v>1548</v>
      </c>
      <c r="Z1280" s="507"/>
      <c r="AA1280" s="507"/>
      <c r="AB1280" s="507" t="s">
        <v>1488</v>
      </c>
      <c r="AC1280" s="507"/>
      <c r="AD1280" s="507"/>
      <c r="AE1280" s="507">
        <v>370</v>
      </c>
      <c r="AF1280" s="507"/>
      <c r="AG1280" s="507"/>
      <c r="AH1280" s="507">
        <v>63</v>
      </c>
      <c r="AI1280" s="507"/>
      <c r="AJ1280" s="507"/>
      <c r="AK1280" s="507" t="s">
        <v>1490</v>
      </c>
      <c r="AL1280" s="507"/>
      <c r="AM1280" s="507"/>
      <c r="AN1280" s="509">
        <f>VLOOKUP(E1280,'Выгрузка из 1С'!$B$4:$K$2000,10,FALSE)</f>
        <v>130640</v>
      </c>
      <c r="AO1280" s="509"/>
      <c r="AP1280" s="509"/>
      <c r="AQ1280" s="509"/>
      <c r="AR1280" s="509"/>
      <c r="AS1280" s="509"/>
      <c r="AT1280" s="25"/>
      <c r="AU1280" s="25"/>
      <c r="AV1280" s="25"/>
      <c r="AW1280" s="25"/>
      <c r="AX1280" s="25"/>
    </row>
    <row r="1281" spans="1:50" s="35" customFormat="1" ht="15" customHeight="1" x14ac:dyDescent="0.25">
      <c r="A1281" s="25"/>
      <c r="B1281" s="25"/>
      <c r="C1281" s="508">
        <v>80</v>
      </c>
      <c r="D1281" s="508"/>
      <c r="E1281" s="513" t="s">
        <v>1860</v>
      </c>
      <c r="F1281" s="513"/>
      <c r="G1281" s="513"/>
      <c r="H1281" s="513"/>
      <c r="I1281" s="513"/>
      <c r="J1281" s="512" t="s">
        <v>1685</v>
      </c>
      <c r="K1281" s="512"/>
      <c r="L1281" s="512"/>
      <c r="M1281" s="512"/>
      <c r="N1281" s="512"/>
      <c r="O1281" s="512"/>
      <c r="P1281" s="512"/>
      <c r="Q1281" s="512"/>
      <c r="R1281" s="512"/>
      <c r="S1281" s="512"/>
      <c r="T1281" s="512"/>
      <c r="U1281" s="512"/>
      <c r="V1281" s="512"/>
      <c r="W1281" s="512"/>
      <c r="X1281" s="512"/>
      <c r="Y1281" s="507" t="s">
        <v>1548</v>
      </c>
      <c r="Z1281" s="507"/>
      <c r="AA1281" s="507"/>
      <c r="AB1281" s="507" t="s">
        <v>1488</v>
      </c>
      <c r="AC1281" s="507"/>
      <c r="AD1281" s="507"/>
      <c r="AE1281" s="507">
        <v>370</v>
      </c>
      <c r="AF1281" s="507"/>
      <c r="AG1281" s="507"/>
      <c r="AH1281" s="507">
        <v>63</v>
      </c>
      <c r="AI1281" s="507"/>
      <c r="AJ1281" s="507"/>
      <c r="AK1281" s="507" t="s">
        <v>1490</v>
      </c>
      <c r="AL1281" s="507"/>
      <c r="AM1281" s="507"/>
      <c r="AN1281" s="509">
        <f>VLOOKUP(E1281,'Выгрузка из 1С'!$B$4:$K$2000,10,FALSE)</f>
        <v>153840</v>
      </c>
      <c r="AO1281" s="509"/>
      <c r="AP1281" s="509"/>
      <c r="AQ1281" s="509"/>
      <c r="AR1281" s="509"/>
      <c r="AS1281" s="509"/>
      <c r="AT1281" s="25"/>
      <c r="AU1281" s="25"/>
      <c r="AV1281" s="25"/>
      <c r="AW1281" s="25"/>
      <c r="AX1281" s="25"/>
    </row>
    <row r="1282" spans="1:50" s="35" customFormat="1" ht="15" customHeight="1" x14ac:dyDescent="0.25">
      <c r="A1282" s="25"/>
      <c r="B1282" s="25"/>
      <c r="C1282" s="508">
        <v>100</v>
      </c>
      <c r="D1282" s="508"/>
      <c r="E1282" s="513" t="s">
        <v>1859</v>
      </c>
      <c r="F1282" s="513"/>
      <c r="G1282" s="513"/>
      <c r="H1282" s="513"/>
      <c r="I1282" s="513"/>
      <c r="J1282" s="512" t="s">
        <v>1686</v>
      </c>
      <c r="K1282" s="512"/>
      <c r="L1282" s="512"/>
      <c r="M1282" s="512"/>
      <c r="N1282" s="512"/>
      <c r="O1282" s="512"/>
      <c r="P1282" s="512"/>
      <c r="Q1282" s="512"/>
      <c r="R1282" s="512"/>
      <c r="S1282" s="512"/>
      <c r="T1282" s="512"/>
      <c r="U1282" s="512"/>
      <c r="V1282" s="512"/>
      <c r="W1282" s="512"/>
      <c r="X1282" s="512"/>
      <c r="Y1282" s="507" t="s">
        <v>1548</v>
      </c>
      <c r="Z1282" s="507"/>
      <c r="AA1282" s="507"/>
      <c r="AB1282" s="507" t="s">
        <v>1488</v>
      </c>
      <c r="AC1282" s="507"/>
      <c r="AD1282" s="507"/>
      <c r="AE1282" s="507">
        <v>370</v>
      </c>
      <c r="AF1282" s="507"/>
      <c r="AG1282" s="507"/>
      <c r="AH1282" s="507">
        <v>100</v>
      </c>
      <c r="AI1282" s="507"/>
      <c r="AJ1282" s="507"/>
      <c r="AK1282" s="507" t="s">
        <v>1490</v>
      </c>
      <c r="AL1282" s="507"/>
      <c r="AM1282" s="507"/>
      <c r="AN1282" s="509">
        <f>VLOOKUP(E1282,'Выгрузка из 1С'!$B$4:$K$2000,10,FALSE)</f>
        <v>169060</v>
      </c>
      <c r="AO1282" s="509"/>
      <c r="AP1282" s="509"/>
      <c r="AQ1282" s="509"/>
      <c r="AR1282" s="509"/>
      <c r="AS1282" s="509"/>
      <c r="AT1282" s="25"/>
      <c r="AU1282" s="25"/>
      <c r="AV1282" s="25"/>
      <c r="AW1282" s="25"/>
      <c r="AX1282" s="25"/>
    </row>
    <row r="1283" spans="1:50" s="35" customFormat="1" ht="15" customHeight="1" x14ac:dyDescent="0.25">
      <c r="A1283" s="25"/>
      <c r="B1283" s="25"/>
      <c r="C1283" s="508">
        <v>150</v>
      </c>
      <c r="D1283" s="508"/>
      <c r="E1283" s="513" t="s">
        <v>1858</v>
      </c>
      <c r="F1283" s="513"/>
      <c r="G1283" s="513"/>
      <c r="H1283" s="513"/>
      <c r="I1283" s="513"/>
      <c r="J1283" s="512" t="s">
        <v>1687</v>
      </c>
      <c r="K1283" s="512"/>
      <c r="L1283" s="512"/>
      <c r="M1283" s="512"/>
      <c r="N1283" s="512"/>
      <c r="O1283" s="512"/>
      <c r="P1283" s="512"/>
      <c r="Q1283" s="512"/>
      <c r="R1283" s="512"/>
      <c r="S1283" s="512"/>
      <c r="T1283" s="512"/>
      <c r="U1283" s="512"/>
      <c r="V1283" s="512"/>
      <c r="W1283" s="512"/>
      <c r="X1283" s="512"/>
      <c r="Y1283" s="507" t="s">
        <v>1548</v>
      </c>
      <c r="Z1283" s="507"/>
      <c r="AA1283" s="507"/>
      <c r="AB1283" s="507" t="s">
        <v>1488</v>
      </c>
      <c r="AC1283" s="507"/>
      <c r="AD1283" s="507"/>
      <c r="AE1283" s="507">
        <v>500</v>
      </c>
      <c r="AF1283" s="507"/>
      <c r="AG1283" s="507"/>
      <c r="AH1283" s="507">
        <v>240</v>
      </c>
      <c r="AI1283" s="507"/>
      <c r="AJ1283" s="507"/>
      <c r="AK1283" s="507" t="s">
        <v>1490</v>
      </c>
      <c r="AL1283" s="507"/>
      <c r="AM1283" s="507"/>
      <c r="AN1283" s="509">
        <f>VLOOKUP(E1283,'Выгрузка из 1С'!$B$4:$K$2000,10,FALSE)</f>
        <v>369800</v>
      </c>
      <c r="AO1283" s="509"/>
      <c r="AP1283" s="509"/>
      <c r="AQ1283" s="509"/>
      <c r="AR1283" s="509"/>
      <c r="AS1283" s="509"/>
      <c r="AT1283" s="25"/>
      <c r="AU1283" s="25"/>
      <c r="AV1283" s="25"/>
      <c r="AW1283" s="25"/>
      <c r="AX1283" s="25"/>
    </row>
    <row r="1284" spans="1:50" s="35" customFormat="1" ht="15" customHeight="1" x14ac:dyDescent="0.2">
      <c r="A1284" s="25"/>
      <c r="B1284" s="25"/>
      <c r="C1284" s="304"/>
      <c r="D1284" s="304"/>
      <c r="E1284" s="304"/>
      <c r="F1284" s="304"/>
      <c r="G1284" s="304"/>
      <c r="H1284" s="305"/>
      <c r="I1284" s="305"/>
      <c r="J1284" s="305"/>
      <c r="K1284" s="305"/>
      <c r="L1284" s="305"/>
      <c r="M1284" s="305"/>
      <c r="N1284" s="305"/>
      <c r="O1284" s="305"/>
      <c r="P1284" s="305"/>
      <c r="Q1284" s="305"/>
      <c r="R1284" s="305"/>
      <c r="S1284" s="305"/>
      <c r="T1284" s="305"/>
      <c r="U1284" s="305"/>
      <c r="V1284" s="305"/>
      <c r="W1284" s="305"/>
      <c r="X1284" s="305"/>
      <c r="Y1284" s="305"/>
      <c r="Z1284" s="305"/>
      <c r="AA1284" s="305"/>
      <c r="AB1284" s="305"/>
      <c r="AC1284" s="305"/>
      <c r="AD1284" s="305"/>
      <c r="AE1284" s="305"/>
      <c r="AF1284" s="305"/>
      <c r="AG1284" s="305"/>
      <c r="AH1284" s="305"/>
      <c r="AI1284" s="305"/>
      <c r="AJ1284" s="305"/>
      <c r="AK1284" s="305"/>
      <c r="AL1284" s="305"/>
      <c r="AM1284" s="305"/>
      <c r="AN1284" s="25"/>
      <c r="AO1284" s="25"/>
      <c r="AP1284" s="25"/>
      <c r="AQ1284" s="25"/>
      <c r="AR1284" s="25"/>
      <c r="AS1284" s="25"/>
      <c r="AT1284" s="25"/>
      <c r="AU1284" s="25"/>
      <c r="AV1284" s="25"/>
      <c r="AW1284" s="25"/>
      <c r="AX1284" s="25"/>
    </row>
    <row r="1285" spans="1:50" s="35" customFormat="1" ht="13.5" customHeight="1" x14ac:dyDescent="0.25">
      <c r="A1285" s="101"/>
      <c r="B1285" s="101"/>
      <c r="C1285" s="84"/>
      <c r="D1285" s="84"/>
      <c r="E1285" s="84"/>
      <c r="F1285" s="84"/>
      <c r="G1285" s="84"/>
      <c r="H1285" s="84"/>
      <c r="I1285" s="84"/>
      <c r="J1285" s="84"/>
      <c r="K1285" s="84"/>
      <c r="L1285" s="84"/>
      <c r="M1285" s="102"/>
      <c r="N1285" s="102"/>
      <c r="O1285" s="102"/>
      <c r="P1285" s="102"/>
      <c r="Q1285" s="103"/>
      <c r="R1285" s="103"/>
      <c r="S1285" s="103"/>
      <c r="T1285" s="85"/>
      <c r="U1285" s="85"/>
      <c r="V1285" s="85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19"/>
      <c r="AO1285" s="119"/>
      <c r="AP1285" s="119"/>
      <c r="AQ1285" s="119"/>
      <c r="AR1285" s="119"/>
      <c r="AS1285" s="119"/>
    </row>
    <row r="1286" spans="1:50" s="35" customFormat="1" x14ac:dyDescent="0.25">
      <c r="A1286" s="68"/>
      <c r="B1286" s="68"/>
      <c r="C1286" s="43"/>
      <c r="D1286" s="43"/>
      <c r="E1286" s="43"/>
      <c r="F1286" s="43"/>
      <c r="G1286" s="43"/>
      <c r="H1286" s="43"/>
      <c r="I1286" s="43"/>
      <c r="J1286" s="43"/>
      <c r="K1286" s="43"/>
      <c r="L1286" s="43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7"/>
      <c r="AO1286" s="67"/>
      <c r="AP1286" s="67"/>
      <c r="AQ1286" s="67"/>
      <c r="AR1286" s="67"/>
      <c r="AS1286" s="67"/>
    </row>
    <row r="1287" spans="1:50" s="248" customFormat="1" ht="15.75" x14ac:dyDescent="0.25">
      <c r="A1287" s="66"/>
      <c r="B1287" s="66"/>
      <c r="C1287" s="510" t="s">
        <v>543</v>
      </c>
      <c r="D1287" s="510"/>
      <c r="E1287" s="510"/>
      <c r="F1287" s="510"/>
      <c r="G1287" s="510"/>
      <c r="H1287" s="510"/>
      <c r="I1287" s="510"/>
      <c r="J1287" s="510"/>
      <c r="K1287" s="510"/>
      <c r="L1287" s="510"/>
      <c r="M1287" s="510"/>
      <c r="N1287" s="510"/>
      <c r="O1287" s="510"/>
      <c r="P1287" s="510"/>
      <c r="Q1287" s="510"/>
      <c r="R1287" s="510"/>
      <c r="S1287" s="510"/>
      <c r="T1287" s="510"/>
      <c r="U1287" s="510"/>
      <c r="V1287" s="510"/>
      <c r="W1287" s="510"/>
      <c r="X1287" s="510"/>
      <c r="Y1287" s="510"/>
      <c r="Z1287" s="510"/>
      <c r="AA1287" s="510"/>
      <c r="AB1287" s="510"/>
      <c r="AC1287" s="510"/>
      <c r="AD1287" s="510"/>
      <c r="AE1287" s="510"/>
      <c r="AF1287" s="510"/>
      <c r="AG1287" s="510"/>
      <c r="AH1287" s="510"/>
      <c r="AI1287" s="510"/>
      <c r="AJ1287" s="510"/>
      <c r="AK1287" s="510"/>
      <c r="AL1287" s="510"/>
      <c r="AM1287" s="510"/>
      <c r="AN1287" s="510"/>
      <c r="AO1287" s="510"/>
      <c r="AP1287" s="510"/>
      <c r="AQ1287" s="510"/>
      <c r="AR1287" s="510"/>
      <c r="AS1287" s="510"/>
    </row>
    <row r="1288" spans="1:50" s="35" customFormat="1" x14ac:dyDescent="0.25">
      <c r="A1288" s="68"/>
      <c r="B1288" s="68"/>
      <c r="C1288" s="350" t="s">
        <v>80</v>
      </c>
      <c r="D1288" s="350"/>
      <c r="E1288" s="350"/>
      <c r="F1288" s="350"/>
      <c r="G1288" s="350"/>
      <c r="H1288" s="350"/>
      <c r="I1288" s="350"/>
      <c r="J1288" s="350"/>
      <c r="K1288" s="350"/>
      <c r="L1288" s="350"/>
      <c r="M1288" s="350" t="s">
        <v>545</v>
      </c>
      <c r="N1288" s="350"/>
      <c r="O1288" s="350"/>
      <c r="P1288" s="350"/>
      <c r="Q1288" s="350" t="s">
        <v>546</v>
      </c>
      <c r="R1288" s="350"/>
      <c r="S1288" s="350"/>
      <c r="T1288" s="350" t="s">
        <v>547</v>
      </c>
      <c r="U1288" s="350"/>
      <c r="V1288" s="350"/>
      <c r="W1288" s="350"/>
      <c r="X1288" s="350"/>
      <c r="Y1288" s="350"/>
      <c r="Z1288" s="350"/>
      <c r="AA1288" s="350"/>
      <c r="AB1288" s="350"/>
      <c r="AC1288" s="350" t="s">
        <v>548</v>
      </c>
      <c r="AD1288" s="350"/>
      <c r="AE1288" s="350"/>
      <c r="AF1288" s="350"/>
      <c r="AG1288" s="350"/>
      <c r="AH1288" s="350" t="s">
        <v>549</v>
      </c>
      <c r="AI1288" s="350"/>
      <c r="AJ1288" s="350"/>
      <c r="AK1288" s="484" t="s">
        <v>550</v>
      </c>
      <c r="AL1288" s="484"/>
      <c r="AM1288" s="484"/>
      <c r="AN1288" s="485" t="s">
        <v>945</v>
      </c>
      <c r="AO1288" s="485"/>
      <c r="AP1288" s="485"/>
      <c r="AQ1288" s="485"/>
      <c r="AR1288" s="485"/>
      <c r="AS1288" s="485"/>
    </row>
    <row r="1289" spans="1:50" ht="12.75" x14ac:dyDescent="0.2">
      <c r="A1289" s="30"/>
      <c r="B1289" s="30"/>
      <c r="C1289" s="359" t="s">
        <v>472</v>
      </c>
      <c r="D1289" s="359"/>
      <c r="E1289" s="359"/>
      <c r="F1289" s="359"/>
      <c r="G1289" s="359"/>
      <c r="H1289" s="359"/>
      <c r="I1289" s="359"/>
      <c r="J1289" s="359"/>
      <c r="K1289" s="359"/>
      <c r="L1289" s="359"/>
      <c r="M1289" s="350" t="s">
        <v>407</v>
      </c>
      <c r="N1289" s="350"/>
      <c r="O1289" s="350"/>
      <c r="P1289" s="350"/>
      <c r="Q1289" s="360" t="s">
        <v>421</v>
      </c>
      <c r="R1289" s="360"/>
      <c r="S1289" s="360"/>
      <c r="T1289" s="350" t="s">
        <v>457</v>
      </c>
      <c r="U1289" s="350"/>
      <c r="V1289" s="350"/>
      <c r="W1289" s="350"/>
      <c r="X1289" s="350"/>
      <c r="Y1289" s="350"/>
      <c r="Z1289" s="350"/>
      <c r="AA1289" s="350"/>
      <c r="AB1289" s="350"/>
      <c r="AC1289" s="350" t="s">
        <v>455</v>
      </c>
      <c r="AD1289" s="350"/>
      <c r="AE1289" s="350"/>
      <c r="AF1289" s="350"/>
      <c r="AG1289" s="350"/>
      <c r="AH1289" s="350" t="s">
        <v>424</v>
      </c>
      <c r="AI1289" s="350"/>
      <c r="AJ1289" s="350"/>
      <c r="AK1289" s="484" t="s">
        <v>437</v>
      </c>
      <c r="AL1289" s="484"/>
      <c r="AM1289" s="484"/>
      <c r="AN1289" s="352" t="s">
        <v>881</v>
      </c>
      <c r="AO1289" s="353"/>
      <c r="AP1289" s="353"/>
      <c r="AQ1289" s="353"/>
      <c r="AR1289" s="353"/>
      <c r="AS1289" s="354"/>
      <c r="AW1289" s="35"/>
      <c r="AX1289" s="35"/>
    </row>
    <row r="1290" spans="1:50" ht="12.75" x14ac:dyDescent="0.2">
      <c r="A1290" s="30"/>
      <c r="B1290" s="30"/>
      <c r="C1290" s="359" t="s">
        <v>473</v>
      </c>
      <c r="D1290" s="359"/>
      <c r="E1290" s="359"/>
      <c r="F1290" s="359"/>
      <c r="G1290" s="359"/>
      <c r="H1290" s="359"/>
      <c r="I1290" s="359"/>
      <c r="J1290" s="359"/>
      <c r="K1290" s="359"/>
      <c r="L1290" s="359"/>
      <c r="M1290" s="350" t="s">
        <v>407</v>
      </c>
      <c r="N1290" s="350"/>
      <c r="O1290" s="350"/>
      <c r="P1290" s="350"/>
      <c r="Q1290" s="503" t="s">
        <v>422</v>
      </c>
      <c r="R1290" s="503"/>
      <c r="S1290" s="503"/>
      <c r="T1290" s="350" t="s">
        <v>457</v>
      </c>
      <c r="U1290" s="350"/>
      <c r="V1290" s="350"/>
      <c r="W1290" s="350"/>
      <c r="X1290" s="350"/>
      <c r="Y1290" s="350"/>
      <c r="Z1290" s="350"/>
      <c r="AA1290" s="350"/>
      <c r="AB1290" s="350"/>
      <c r="AC1290" s="350" t="s">
        <v>455</v>
      </c>
      <c r="AD1290" s="350"/>
      <c r="AE1290" s="350"/>
      <c r="AF1290" s="350"/>
      <c r="AG1290" s="350"/>
      <c r="AH1290" s="350" t="s">
        <v>424</v>
      </c>
      <c r="AI1290" s="350"/>
      <c r="AJ1290" s="350"/>
      <c r="AK1290" s="484" t="s">
        <v>437</v>
      </c>
      <c r="AL1290" s="484"/>
      <c r="AM1290" s="484"/>
      <c r="AN1290" s="352" t="s">
        <v>881</v>
      </c>
      <c r="AO1290" s="353"/>
      <c r="AP1290" s="353"/>
      <c r="AQ1290" s="353"/>
      <c r="AR1290" s="353"/>
      <c r="AS1290" s="354"/>
      <c r="AW1290" s="35"/>
      <c r="AX1290" s="35"/>
    </row>
    <row r="1291" spans="1:50" ht="12.75" x14ac:dyDescent="0.2">
      <c r="A1291" s="30"/>
      <c r="B1291" s="30"/>
      <c r="C1291" s="359" t="s">
        <v>472</v>
      </c>
      <c r="D1291" s="359"/>
      <c r="E1291" s="359"/>
      <c r="F1291" s="359"/>
      <c r="G1291" s="359"/>
      <c r="H1291" s="359"/>
      <c r="I1291" s="359"/>
      <c r="J1291" s="359"/>
      <c r="K1291" s="359"/>
      <c r="L1291" s="359"/>
      <c r="M1291" s="350" t="s">
        <v>407</v>
      </c>
      <c r="N1291" s="350"/>
      <c r="O1291" s="350"/>
      <c r="P1291" s="350"/>
      <c r="Q1291" s="360" t="s">
        <v>421</v>
      </c>
      <c r="R1291" s="360"/>
      <c r="S1291" s="360"/>
      <c r="T1291" s="350" t="s">
        <v>457</v>
      </c>
      <c r="U1291" s="350"/>
      <c r="V1291" s="350"/>
      <c r="W1291" s="350"/>
      <c r="X1291" s="350"/>
      <c r="Y1291" s="350"/>
      <c r="Z1291" s="350"/>
      <c r="AA1291" s="350"/>
      <c r="AB1291" s="350"/>
      <c r="AC1291" s="350" t="s">
        <v>455</v>
      </c>
      <c r="AD1291" s="350"/>
      <c r="AE1291" s="350"/>
      <c r="AF1291" s="350"/>
      <c r="AG1291" s="350"/>
      <c r="AH1291" s="350" t="s">
        <v>425</v>
      </c>
      <c r="AI1291" s="350"/>
      <c r="AJ1291" s="350"/>
      <c r="AK1291" s="484" t="s">
        <v>437</v>
      </c>
      <c r="AL1291" s="484"/>
      <c r="AM1291" s="484"/>
      <c r="AN1291" s="352" t="s">
        <v>881</v>
      </c>
      <c r="AO1291" s="353"/>
      <c r="AP1291" s="353"/>
      <c r="AQ1291" s="353"/>
      <c r="AR1291" s="353"/>
      <c r="AS1291" s="354"/>
      <c r="AW1291" s="35"/>
      <c r="AX1291" s="35"/>
    </row>
    <row r="1292" spans="1:50" ht="12.75" x14ac:dyDescent="0.2">
      <c r="A1292" s="30"/>
      <c r="B1292" s="30"/>
      <c r="C1292" s="359" t="s">
        <v>473</v>
      </c>
      <c r="D1292" s="359"/>
      <c r="E1292" s="359"/>
      <c r="F1292" s="359"/>
      <c r="G1292" s="359"/>
      <c r="H1292" s="359"/>
      <c r="I1292" s="359"/>
      <c r="J1292" s="359"/>
      <c r="K1292" s="359"/>
      <c r="L1292" s="359"/>
      <c r="M1292" s="350" t="s">
        <v>407</v>
      </c>
      <c r="N1292" s="350"/>
      <c r="O1292" s="350"/>
      <c r="P1292" s="350"/>
      <c r="Q1292" s="503" t="s">
        <v>422</v>
      </c>
      <c r="R1292" s="503"/>
      <c r="S1292" s="503"/>
      <c r="T1292" s="350" t="s">
        <v>457</v>
      </c>
      <c r="U1292" s="350"/>
      <c r="V1292" s="350"/>
      <c r="W1292" s="350"/>
      <c r="X1292" s="350"/>
      <c r="Y1292" s="350"/>
      <c r="Z1292" s="350"/>
      <c r="AA1292" s="350"/>
      <c r="AB1292" s="350"/>
      <c r="AC1292" s="350" t="s">
        <v>455</v>
      </c>
      <c r="AD1292" s="350"/>
      <c r="AE1292" s="350"/>
      <c r="AF1292" s="350"/>
      <c r="AG1292" s="350"/>
      <c r="AH1292" s="350" t="s">
        <v>425</v>
      </c>
      <c r="AI1292" s="350"/>
      <c r="AJ1292" s="350"/>
      <c r="AK1292" s="484" t="s">
        <v>437</v>
      </c>
      <c r="AL1292" s="484"/>
      <c r="AM1292" s="484"/>
      <c r="AN1292" s="352" t="s">
        <v>881</v>
      </c>
      <c r="AO1292" s="353"/>
      <c r="AP1292" s="353"/>
      <c r="AQ1292" s="353"/>
      <c r="AR1292" s="353"/>
      <c r="AS1292" s="354"/>
      <c r="AW1292" s="35"/>
      <c r="AX1292" s="35"/>
    </row>
    <row r="1293" spans="1:50" ht="12.75" x14ac:dyDescent="0.2">
      <c r="A1293" s="30"/>
      <c r="B1293" s="30"/>
      <c r="C1293" s="359" t="s">
        <v>474</v>
      </c>
      <c r="D1293" s="359"/>
      <c r="E1293" s="359"/>
      <c r="F1293" s="359"/>
      <c r="G1293" s="359"/>
      <c r="H1293" s="359"/>
      <c r="I1293" s="359"/>
      <c r="J1293" s="359"/>
      <c r="K1293" s="359"/>
      <c r="L1293" s="359"/>
      <c r="M1293" s="350" t="s">
        <v>408</v>
      </c>
      <c r="N1293" s="350"/>
      <c r="O1293" s="350"/>
      <c r="P1293" s="350"/>
      <c r="Q1293" s="360" t="s">
        <v>421</v>
      </c>
      <c r="R1293" s="360"/>
      <c r="S1293" s="360"/>
      <c r="T1293" s="350" t="s">
        <v>458</v>
      </c>
      <c r="U1293" s="350"/>
      <c r="V1293" s="350"/>
      <c r="W1293" s="350"/>
      <c r="X1293" s="350"/>
      <c r="Y1293" s="350"/>
      <c r="Z1293" s="350"/>
      <c r="AA1293" s="350"/>
      <c r="AB1293" s="350"/>
      <c r="AC1293" s="350" t="s">
        <v>455</v>
      </c>
      <c r="AD1293" s="350"/>
      <c r="AE1293" s="350"/>
      <c r="AF1293" s="350"/>
      <c r="AG1293" s="350"/>
      <c r="AH1293" s="350" t="s">
        <v>426</v>
      </c>
      <c r="AI1293" s="350"/>
      <c r="AJ1293" s="350"/>
      <c r="AK1293" s="484" t="s">
        <v>438</v>
      </c>
      <c r="AL1293" s="484"/>
      <c r="AM1293" s="484"/>
      <c r="AN1293" s="352" t="s">
        <v>881</v>
      </c>
      <c r="AO1293" s="353"/>
      <c r="AP1293" s="353"/>
      <c r="AQ1293" s="353"/>
      <c r="AR1293" s="353"/>
      <c r="AS1293" s="354"/>
      <c r="AW1293" s="35"/>
      <c r="AX1293" s="35"/>
    </row>
    <row r="1294" spans="1:50" ht="12.75" x14ac:dyDescent="0.2">
      <c r="A1294" s="30"/>
      <c r="B1294" s="30"/>
      <c r="C1294" s="359" t="s">
        <v>475</v>
      </c>
      <c r="D1294" s="359"/>
      <c r="E1294" s="359"/>
      <c r="F1294" s="359"/>
      <c r="G1294" s="359"/>
      <c r="H1294" s="359"/>
      <c r="I1294" s="359"/>
      <c r="J1294" s="359"/>
      <c r="K1294" s="359"/>
      <c r="L1294" s="359"/>
      <c r="M1294" s="350" t="s">
        <v>408</v>
      </c>
      <c r="N1294" s="350"/>
      <c r="O1294" s="350"/>
      <c r="P1294" s="350"/>
      <c r="Q1294" s="503" t="s">
        <v>422</v>
      </c>
      <c r="R1294" s="503"/>
      <c r="S1294" s="503"/>
      <c r="T1294" s="350" t="s">
        <v>458</v>
      </c>
      <c r="U1294" s="350"/>
      <c r="V1294" s="350"/>
      <c r="W1294" s="350"/>
      <c r="X1294" s="350"/>
      <c r="Y1294" s="350"/>
      <c r="Z1294" s="350"/>
      <c r="AA1294" s="350"/>
      <c r="AB1294" s="350"/>
      <c r="AC1294" s="350" t="s">
        <v>455</v>
      </c>
      <c r="AD1294" s="350"/>
      <c r="AE1294" s="350"/>
      <c r="AF1294" s="350"/>
      <c r="AG1294" s="350"/>
      <c r="AH1294" s="350" t="s">
        <v>426</v>
      </c>
      <c r="AI1294" s="350"/>
      <c r="AJ1294" s="350"/>
      <c r="AK1294" s="484" t="s">
        <v>438</v>
      </c>
      <c r="AL1294" s="484"/>
      <c r="AM1294" s="484"/>
      <c r="AN1294" s="352" t="s">
        <v>881</v>
      </c>
      <c r="AO1294" s="353"/>
      <c r="AP1294" s="353"/>
      <c r="AQ1294" s="353"/>
      <c r="AR1294" s="353"/>
      <c r="AS1294" s="354"/>
      <c r="AW1294" s="35"/>
      <c r="AX1294" s="35"/>
    </row>
    <row r="1295" spans="1:50" ht="12.75" x14ac:dyDescent="0.2">
      <c r="A1295" s="30"/>
      <c r="B1295" s="30"/>
      <c r="C1295" s="504" t="s">
        <v>420</v>
      </c>
      <c r="D1295" s="505"/>
      <c r="E1295" s="505"/>
      <c r="F1295" s="505"/>
      <c r="G1295" s="505"/>
      <c r="H1295" s="505"/>
      <c r="I1295" s="505"/>
      <c r="J1295" s="505"/>
      <c r="K1295" s="505"/>
      <c r="L1295" s="505"/>
      <c r="M1295" s="505"/>
      <c r="N1295" s="505"/>
      <c r="O1295" s="505"/>
      <c r="P1295" s="505"/>
      <c r="Q1295" s="505"/>
      <c r="R1295" s="505"/>
      <c r="S1295" s="505"/>
      <c r="T1295" s="505"/>
      <c r="U1295" s="505"/>
      <c r="V1295" s="505"/>
      <c r="W1295" s="505"/>
      <c r="X1295" s="505"/>
      <c r="Y1295" s="505"/>
      <c r="Z1295" s="505"/>
      <c r="AA1295" s="505"/>
      <c r="AB1295" s="505"/>
      <c r="AC1295" s="505"/>
      <c r="AD1295" s="505"/>
      <c r="AE1295" s="505"/>
      <c r="AF1295" s="505"/>
      <c r="AG1295" s="505"/>
      <c r="AH1295" s="505"/>
      <c r="AI1295" s="505"/>
      <c r="AJ1295" s="505"/>
      <c r="AK1295" s="505"/>
      <c r="AL1295" s="505"/>
      <c r="AM1295" s="506"/>
      <c r="AN1295" s="352" t="s">
        <v>881</v>
      </c>
      <c r="AO1295" s="353"/>
      <c r="AP1295" s="353"/>
      <c r="AQ1295" s="353"/>
      <c r="AR1295" s="353"/>
      <c r="AS1295" s="354"/>
      <c r="AW1295" s="35"/>
      <c r="AX1295" s="35"/>
    </row>
    <row r="1296" spans="1:50" ht="12.75" x14ac:dyDescent="0.2">
      <c r="A1296" s="30"/>
      <c r="B1296" s="30"/>
      <c r="C1296" s="433" t="s">
        <v>544</v>
      </c>
      <c r="D1296" s="433"/>
      <c r="E1296" s="433"/>
      <c r="F1296" s="433"/>
      <c r="G1296" s="433"/>
      <c r="H1296" s="433"/>
      <c r="I1296" s="433"/>
      <c r="J1296" s="433"/>
      <c r="K1296" s="433"/>
      <c r="L1296" s="433"/>
      <c r="M1296" s="433"/>
      <c r="N1296" s="433"/>
      <c r="O1296" s="433"/>
      <c r="P1296" s="433"/>
      <c r="Q1296" s="433"/>
      <c r="R1296" s="433"/>
      <c r="S1296" s="433"/>
      <c r="T1296" s="433"/>
      <c r="U1296" s="433"/>
      <c r="V1296" s="433"/>
      <c r="W1296" s="433"/>
      <c r="X1296" s="433"/>
      <c r="Y1296" s="433"/>
      <c r="Z1296" s="433"/>
      <c r="AA1296" s="433"/>
      <c r="AB1296" s="433"/>
      <c r="AC1296" s="433"/>
      <c r="AD1296" s="433"/>
      <c r="AE1296" s="433"/>
      <c r="AF1296" s="433"/>
      <c r="AG1296" s="433"/>
      <c r="AH1296" s="433"/>
      <c r="AI1296" s="433"/>
      <c r="AJ1296" s="433"/>
      <c r="AK1296" s="433"/>
      <c r="AL1296" s="433"/>
      <c r="AM1296" s="433"/>
      <c r="AN1296" s="433"/>
      <c r="AO1296" s="433"/>
      <c r="AP1296" s="433"/>
      <c r="AQ1296" s="433"/>
      <c r="AR1296" s="433"/>
      <c r="AS1296" s="433"/>
      <c r="AW1296" s="35"/>
      <c r="AX1296" s="35"/>
    </row>
    <row r="1297" spans="1:50" ht="12.75" x14ac:dyDescent="0.2">
      <c r="A1297" s="30"/>
      <c r="B1297" s="30"/>
      <c r="C1297" s="356" t="s">
        <v>80</v>
      </c>
      <c r="D1297" s="356"/>
      <c r="E1297" s="356"/>
      <c r="F1297" s="356"/>
      <c r="G1297" s="356"/>
      <c r="H1297" s="356"/>
      <c r="I1297" s="356"/>
      <c r="J1297" s="356"/>
      <c r="K1297" s="356"/>
      <c r="L1297" s="356"/>
      <c r="M1297" s="356" t="s">
        <v>545</v>
      </c>
      <c r="N1297" s="356"/>
      <c r="O1297" s="356"/>
      <c r="P1297" s="356"/>
      <c r="Q1297" s="356" t="s">
        <v>546</v>
      </c>
      <c r="R1297" s="356"/>
      <c r="S1297" s="356"/>
      <c r="T1297" s="356" t="s">
        <v>547</v>
      </c>
      <c r="U1297" s="356"/>
      <c r="V1297" s="356"/>
      <c r="W1297" s="356"/>
      <c r="X1297" s="356"/>
      <c r="Y1297" s="356"/>
      <c r="Z1297" s="356"/>
      <c r="AA1297" s="356"/>
      <c r="AB1297" s="356"/>
      <c r="AC1297" s="356" t="s">
        <v>548</v>
      </c>
      <c r="AD1297" s="356"/>
      <c r="AE1297" s="356"/>
      <c r="AF1297" s="356"/>
      <c r="AG1297" s="356"/>
      <c r="AH1297" s="356" t="s">
        <v>549</v>
      </c>
      <c r="AI1297" s="356"/>
      <c r="AJ1297" s="356"/>
      <c r="AK1297" s="479" t="s">
        <v>550</v>
      </c>
      <c r="AL1297" s="479"/>
      <c r="AM1297" s="479"/>
      <c r="AN1297" s="485" t="s">
        <v>945</v>
      </c>
      <c r="AO1297" s="485"/>
      <c r="AP1297" s="485"/>
      <c r="AQ1297" s="485"/>
      <c r="AR1297" s="485"/>
      <c r="AS1297" s="485"/>
      <c r="AW1297" s="35"/>
      <c r="AX1297" s="35"/>
    </row>
    <row r="1298" spans="1:50" ht="12.75" x14ac:dyDescent="0.2">
      <c r="A1298" s="30"/>
      <c r="B1298" s="30"/>
      <c r="C1298" s="434" t="s">
        <v>476</v>
      </c>
      <c r="D1298" s="434"/>
      <c r="E1298" s="434"/>
      <c r="F1298" s="434"/>
      <c r="G1298" s="434"/>
      <c r="H1298" s="434"/>
      <c r="I1298" s="434"/>
      <c r="J1298" s="434"/>
      <c r="K1298" s="434"/>
      <c r="L1298" s="434"/>
      <c r="M1298" s="356" t="s">
        <v>407</v>
      </c>
      <c r="N1298" s="356"/>
      <c r="O1298" s="356"/>
      <c r="P1298" s="356"/>
      <c r="Q1298" s="502" t="s">
        <v>421</v>
      </c>
      <c r="R1298" s="502"/>
      <c r="S1298" s="502"/>
      <c r="T1298" s="356" t="s">
        <v>457</v>
      </c>
      <c r="U1298" s="356"/>
      <c r="V1298" s="356"/>
      <c r="W1298" s="356"/>
      <c r="X1298" s="356"/>
      <c r="Y1298" s="356"/>
      <c r="Z1298" s="356"/>
      <c r="AA1298" s="356"/>
      <c r="AB1298" s="356"/>
      <c r="AC1298" s="356" t="s">
        <v>455</v>
      </c>
      <c r="AD1298" s="356"/>
      <c r="AE1298" s="356"/>
      <c r="AF1298" s="356"/>
      <c r="AG1298" s="356"/>
      <c r="AH1298" s="356" t="s">
        <v>424</v>
      </c>
      <c r="AI1298" s="356"/>
      <c r="AJ1298" s="356"/>
      <c r="AK1298" s="479" t="s">
        <v>437</v>
      </c>
      <c r="AL1298" s="479"/>
      <c r="AM1298" s="479"/>
      <c r="AN1298" s="352" t="s">
        <v>881</v>
      </c>
      <c r="AO1298" s="353"/>
      <c r="AP1298" s="353"/>
      <c r="AQ1298" s="353"/>
      <c r="AR1298" s="353"/>
      <c r="AS1298" s="354"/>
      <c r="AW1298" s="35"/>
      <c r="AX1298" s="35"/>
    </row>
    <row r="1299" spans="1:50" ht="12.75" x14ac:dyDescent="0.2">
      <c r="A1299" s="30"/>
      <c r="B1299" s="30"/>
      <c r="C1299" s="434" t="s">
        <v>477</v>
      </c>
      <c r="D1299" s="434"/>
      <c r="E1299" s="434"/>
      <c r="F1299" s="434"/>
      <c r="G1299" s="434"/>
      <c r="H1299" s="434"/>
      <c r="I1299" s="434"/>
      <c r="J1299" s="434"/>
      <c r="K1299" s="434"/>
      <c r="L1299" s="434"/>
      <c r="M1299" s="356" t="s">
        <v>407</v>
      </c>
      <c r="N1299" s="356"/>
      <c r="O1299" s="356"/>
      <c r="P1299" s="356"/>
      <c r="Q1299" s="501" t="s">
        <v>422</v>
      </c>
      <c r="R1299" s="501"/>
      <c r="S1299" s="501"/>
      <c r="T1299" s="356" t="s">
        <v>457</v>
      </c>
      <c r="U1299" s="356"/>
      <c r="V1299" s="356"/>
      <c r="W1299" s="356"/>
      <c r="X1299" s="356"/>
      <c r="Y1299" s="356"/>
      <c r="Z1299" s="356"/>
      <c r="AA1299" s="356"/>
      <c r="AB1299" s="356"/>
      <c r="AC1299" s="356" t="s">
        <v>455</v>
      </c>
      <c r="AD1299" s="356"/>
      <c r="AE1299" s="356"/>
      <c r="AF1299" s="356"/>
      <c r="AG1299" s="356"/>
      <c r="AH1299" s="356" t="s">
        <v>424</v>
      </c>
      <c r="AI1299" s="356"/>
      <c r="AJ1299" s="356"/>
      <c r="AK1299" s="479" t="s">
        <v>437</v>
      </c>
      <c r="AL1299" s="479"/>
      <c r="AM1299" s="479"/>
      <c r="AN1299" s="352" t="s">
        <v>881</v>
      </c>
      <c r="AO1299" s="353"/>
      <c r="AP1299" s="353"/>
      <c r="AQ1299" s="353"/>
      <c r="AR1299" s="353"/>
      <c r="AS1299" s="354"/>
      <c r="AW1299" s="35"/>
      <c r="AX1299" s="35"/>
    </row>
    <row r="1300" spans="1:50" ht="12.75" x14ac:dyDescent="0.2">
      <c r="A1300" s="30"/>
      <c r="B1300" s="30"/>
      <c r="C1300" s="434" t="s">
        <v>476</v>
      </c>
      <c r="D1300" s="434"/>
      <c r="E1300" s="434"/>
      <c r="F1300" s="434"/>
      <c r="G1300" s="434"/>
      <c r="H1300" s="434"/>
      <c r="I1300" s="434"/>
      <c r="J1300" s="434"/>
      <c r="K1300" s="434"/>
      <c r="L1300" s="434"/>
      <c r="M1300" s="356" t="s">
        <v>407</v>
      </c>
      <c r="N1300" s="356"/>
      <c r="O1300" s="356"/>
      <c r="P1300" s="356"/>
      <c r="Q1300" s="502" t="s">
        <v>421</v>
      </c>
      <c r="R1300" s="502"/>
      <c r="S1300" s="502"/>
      <c r="T1300" s="356" t="s">
        <v>457</v>
      </c>
      <c r="U1300" s="356"/>
      <c r="V1300" s="356"/>
      <c r="W1300" s="356"/>
      <c r="X1300" s="356"/>
      <c r="Y1300" s="356"/>
      <c r="Z1300" s="356"/>
      <c r="AA1300" s="356"/>
      <c r="AB1300" s="356"/>
      <c r="AC1300" s="356" t="s">
        <v>455</v>
      </c>
      <c r="AD1300" s="356"/>
      <c r="AE1300" s="356"/>
      <c r="AF1300" s="356"/>
      <c r="AG1300" s="356"/>
      <c r="AH1300" s="356" t="s">
        <v>425</v>
      </c>
      <c r="AI1300" s="356"/>
      <c r="AJ1300" s="356"/>
      <c r="AK1300" s="479" t="s">
        <v>437</v>
      </c>
      <c r="AL1300" s="479"/>
      <c r="AM1300" s="479"/>
      <c r="AN1300" s="352" t="s">
        <v>881</v>
      </c>
      <c r="AO1300" s="353"/>
      <c r="AP1300" s="353"/>
      <c r="AQ1300" s="353"/>
      <c r="AR1300" s="353"/>
      <c r="AS1300" s="354"/>
      <c r="AW1300" s="35"/>
      <c r="AX1300" s="35"/>
    </row>
    <row r="1301" spans="1:50" ht="12.75" x14ac:dyDescent="0.2">
      <c r="A1301" s="30"/>
      <c r="B1301" s="30"/>
      <c r="C1301" s="434" t="s">
        <v>477</v>
      </c>
      <c r="D1301" s="434"/>
      <c r="E1301" s="434"/>
      <c r="F1301" s="434"/>
      <c r="G1301" s="434"/>
      <c r="H1301" s="434"/>
      <c r="I1301" s="434"/>
      <c r="J1301" s="434"/>
      <c r="K1301" s="434"/>
      <c r="L1301" s="434"/>
      <c r="M1301" s="356" t="s">
        <v>407</v>
      </c>
      <c r="N1301" s="356"/>
      <c r="O1301" s="356"/>
      <c r="P1301" s="356"/>
      <c r="Q1301" s="501" t="s">
        <v>422</v>
      </c>
      <c r="R1301" s="501"/>
      <c r="S1301" s="501"/>
      <c r="T1301" s="356" t="s">
        <v>457</v>
      </c>
      <c r="U1301" s="356"/>
      <c r="V1301" s="356"/>
      <c r="W1301" s="356"/>
      <c r="X1301" s="356"/>
      <c r="Y1301" s="356"/>
      <c r="Z1301" s="356"/>
      <c r="AA1301" s="356"/>
      <c r="AB1301" s="356"/>
      <c r="AC1301" s="356" t="s">
        <v>455</v>
      </c>
      <c r="AD1301" s="356"/>
      <c r="AE1301" s="356"/>
      <c r="AF1301" s="356"/>
      <c r="AG1301" s="356"/>
      <c r="AH1301" s="356" t="s">
        <v>425</v>
      </c>
      <c r="AI1301" s="356"/>
      <c r="AJ1301" s="356"/>
      <c r="AK1301" s="479" t="s">
        <v>437</v>
      </c>
      <c r="AL1301" s="479"/>
      <c r="AM1301" s="479"/>
      <c r="AN1301" s="352" t="s">
        <v>881</v>
      </c>
      <c r="AO1301" s="353"/>
      <c r="AP1301" s="353"/>
      <c r="AQ1301" s="353"/>
      <c r="AR1301" s="353"/>
      <c r="AS1301" s="354"/>
      <c r="AW1301" s="35"/>
      <c r="AX1301" s="35"/>
    </row>
    <row r="1302" spans="1:50" ht="12.75" x14ac:dyDescent="0.2">
      <c r="A1302" s="30"/>
      <c r="B1302" s="30"/>
      <c r="C1302" s="434" t="s">
        <v>478</v>
      </c>
      <c r="D1302" s="434"/>
      <c r="E1302" s="434"/>
      <c r="F1302" s="434"/>
      <c r="G1302" s="434"/>
      <c r="H1302" s="434"/>
      <c r="I1302" s="434"/>
      <c r="J1302" s="434"/>
      <c r="K1302" s="434"/>
      <c r="L1302" s="434"/>
      <c r="M1302" s="356" t="s">
        <v>408</v>
      </c>
      <c r="N1302" s="356"/>
      <c r="O1302" s="356"/>
      <c r="P1302" s="356"/>
      <c r="Q1302" s="502" t="s">
        <v>421</v>
      </c>
      <c r="R1302" s="502"/>
      <c r="S1302" s="502"/>
      <c r="T1302" s="356" t="s">
        <v>458</v>
      </c>
      <c r="U1302" s="356"/>
      <c r="V1302" s="356"/>
      <c r="W1302" s="356"/>
      <c r="X1302" s="356"/>
      <c r="Y1302" s="356"/>
      <c r="Z1302" s="356"/>
      <c r="AA1302" s="356"/>
      <c r="AB1302" s="356"/>
      <c r="AC1302" s="356" t="s">
        <v>455</v>
      </c>
      <c r="AD1302" s="356"/>
      <c r="AE1302" s="356"/>
      <c r="AF1302" s="356"/>
      <c r="AG1302" s="356"/>
      <c r="AH1302" s="356" t="s">
        <v>426</v>
      </c>
      <c r="AI1302" s="356"/>
      <c r="AJ1302" s="356"/>
      <c r="AK1302" s="479" t="s">
        <v>438</v>
      </c>
      <c r="AL1302" s="479"/>
      <c r="AM1302" s="479"/>
      <c r="AN1302" s="352" t="s">
        <v>881</v>
      </c>
      <c r="AO1302" s="353"/>
      <c r="AP1302" s="353"/>
      <c r="AQ1302" s="353"/>
      <c r="AR1302" s="353"/>
      <c r="AS1302" s="354"/>
      <c r="AW1302" s="35"/>
      <c r="AX1302" s="35"/>
    </row>
    <row r="1303" spans="1:50" ht="12.75" x14ac:dyDescent="0.2">
      <c r="A1303" s="30"/>
      <c r="B1303" s="30"/>
      <c r="C1303" s="434" t="s">
        <v>479</v>
      </c>
      <c r="D1303" s="434"/>
      <c r="E1303" s="434"/>
      <c r="F1303" s="434"/>
      <c r="G1303" s="434"/>
      <c r="H1303" s="434"/>
      <c r="I1303" s="434"/>
      <c r="J1303" s="434"/>
      <c r="K1303" s="434"/>
      <c r="L1303" s="434"/>
      <c r="M1303" s="356" t="s">
        <v>408</v>
      </c>
      <c r="N1303" s="356"/>
      <c r="O1303" s="356"/>
      <c r="P1303" s="356"/>
      <c r="Q1303" s="501" t="s">
        <v>422</v>
      </c>
      <c r="R1303" s="501"/>
      <c r="S1303" s="501"/>
      <c r="T1303" s="356" t="s">
        <v>458</v>
      </c>
      <c r="U1303" s="356"/>
      <c r="V1303" s="356"/>
      <c r="W1303" s="356"/>
      <c r="X1303" s="356"/>
      <c r="Y1303" s="356"/>
      <c r="Z1303" s="356"/>
      <c r="AA1303" s="356"/>
      <c r="AB1303" s="356"/>
      <c r="AC1303" s="356" t="s">
        <v>455</v>
      </c>
      <c r="AD1303" s="356"/>
      <c r="AE1303" s="356"/>
      <c r="AF1303" s="356"/>
      <c r="AG1303" s="356"/>
      <c r="AH1303" s="356" t="s">
        <v>426</v>
      </c>
      <c r="AI1303" s="356"/>
      <c r="AJ1303" s="356"/>
      <c r="AK1303" s="479" t="s">
        <v>438</v>
      </c>
      <c r="AL1303" s="479"/>
      <c r="AM1303" s="479"/>
      <c r="AN1303" s="352" t="s">
        <v>881</v>
      </c>
      <c r="AO1303" s="353"/>
      <c r="AP1303" s="353"/>
      <c r="AQ1303" s="353"/>
      <c r="AR1303" s="353"/>
      <c r="AS1303" s="354"/>
      <c r="AW1303" s="35"/>
      <c r="AX1303" s="35"/>
    </row>
    <row r="1304" spans="1:50" ht="12.75" x14ac:dyDescent="0.2">
      <c r="A1304" s="30"/>
      <c r="B1304" s="30"/>
      <c r="C1304" s="434" t="s">
        <v>879</v>
      </c>
      <c r="D1304" s="434"/>
      <c r="E1304" s="434"/>
      <c r="F1304" s="434"/>
      <c r="G1304" s="434"/>
      <c r="H1304" s="434"/>
      <c r="I1304" s="434"/>
      <c r="J1304" s="434"/>
      <c r="K1304" s="434"/>
      <c r="L1304" s="434"/>
      <c r="M1304" s="356" t="s">
        <v>407</v>
      </c>
      <c r="N1304" s="356"/>
      <c r="O1304" s="356"/>
      <c r="P1304" s="356"/>
      <c r="Q1304" s="501" t="s">
        <v>422</v>
      </c>
      <c r="R1304" s="501"/>
      <c r="S1304" s="501"/>
      <c r="T1304" s="356" t="s">
        <v>457</v>
      </c>
      <c r="U1304" s="356"/>
      <c r="V1304" s="356"/>
      <c r="W1304" s="356"/>
      <c r="X1304" s="356"/>
      <c r="Y1304" s="356"/>
      <c r="Z1304" s="356"/>
      <c r="AA1304" s="356"/>
      <c r="AB1304" s="356"/>
      <c r="AC1304" s="356" t="s">
        <v>455</v>
      </c>
      <c r="AD1304" s="356"/>
      <c r="AE1304" s="356"/>
      <c r="AF1304" s="356"/>
      <c r="AG1304" s="356"/>
      <c r="AH1304" s="356" t="s">
        <v>424</v>
      </c>
      <c r="AI1304" s="356"/>
      <c r="AJ1304" s="356"/>
      <c r="AK1304" s="479" t="s">
        <v>437</v>
      </c>
      <c r="AL1304" s="479"/>
      <c r="AM1304" s="479"/>
      <c r="AN1304" s="352" t="s">
        <v>881</v>
      </c>
      <c r="AO1304" s="353"/>
      <c r="AP1304" s="353"/>
      <c r="AQ1304" s="353"/>
      <c r="AR1304" s="353"/>
      <c r="AS1304" s="354"/>
      <c r="AW1304" s="35"/>
      <c r="AX1304" s="35"/>
    </row>
    <row r="1305" spans="1:50" x14ac:dyDescent="0.25">
      <c r="C1305" s="434" t="s">
        <v>878</v>
      </c>
      <c r="D1305" s="434"/>
      <c r="E1305" s="434"/>
      <c r="F1305" s="434"/>
      <c r="G1305" s="434"/>
      <c r="H1305" s="434"/>
      <c r="I1305" s="434"/>
      <c r="J1305" s="434"/>
      <c r="K1305" s="434"/>
      <c r="L1305" s="434"/>
      <c r="M1305" s="356" t="s">
        <v>408</v>
      </c>
      <c r="N1305" s="356"/>
      <c r="O1305" s="356"/>
      <c r="P1305" s="356"/>
      <c r="Q1305" s="501" t="s">
        <v>422</v>
      </c>
      <c r="R1305" s="501"/>
      <c r="S1305" s="501"/>
      <c r="T1305" s="356" t="s">
        <v>458</v>
      </c>
      <c r="U1305" s="356"/>
      <c r="V1305" s="356"/>
      <c r="W1305" s="356"/>
      <c r="X1305" s="356"/>
      <c r="Y1305" s="356"/>
      <c r="Z1305" s="356"/>
      <c r="AA1305" s="356"/>
      <c r="AB1305" s="356"/>
      <c r="AC1305" s="356" t="s">
        <v>455</v>
      </c>
      <c r="AD1305" s="356"/>
      <c r="AE1305" s="356"/>
      <c r="AF1305" s="356"/>
      <c r="AG1305" s="356"/>
      <c r="AH1305" s="356" t="s">
        <v>426</v>
      </c>
      <c r="AI1305" s="356"/>
      <c r="AJ1305" s="356"/>
      <c r="AK1305" s="479" t="s">
        <v>438</v>
      </c>
      <c r="AL1305" s="479"/>
      <c r="AM1305" s="479"/>
      <c r="AN1305" s="352" t="s">
        <v>881</v>
      </c>
      <c r="AO1305" s="353"/>
      <c r="AP1305" s="353"/>
      <c r="AQ1305" s="353"/>
      <c r="AR1305" s="353"/>
      <c r="AS1305" s="354"/>
      <c r="AW1305" s="35"/>
      <c r="AX1305" s="35"/>
    </row>
    <row r="1306" spans="1:50" s="35" customFormat="1" x14ac:dyDescent="0.25">
      <c r="A1306" s="101"/>
      <c r="B1306" s="101"/>
      <c r="C1306" s="113"/>
      <c r="D1306" s="114"/>
      <c r="E1306" s="114"/>
      <c r="F1306" s="114"/>
      <c r="G1306" s="114"/>
      <c r="H1306" s="114"/>
      <c r="I1306" s="114"/>
      <c r="J1306" s="114"/>
      <c r="K1306" s="114"/>
      <c r="L1306" s="114"/>
      <c r="M1306" s="115"/>
      <c r="N1306" s="115"/>
      <c r="O1306" s="115"/>
      <c r="P1306" s="115"/>
      <c r="Q1306" s="115"/>
      <c r="R1306" s="115"/>
      <c r="S1306" s="115"/>
      <c r="T1306" s="115"/>
      <c r="U1306" s="115"/>
      <c r="V1306" s="115"/>
      <c r="W1306" s="115"/>
      <c r="X1306" s="115"/>
      <c r="Y1306" s="115"/>
      <c r="Z1306" s="115"/>
      <c r="AA1306" s="115"/>
      <c r="AB1306" s="115"/>
      <c r="AC1306" s="115"/>
      <c r="AD1306" s="115"/>
      <c r="AE1306" s="115"/>
      <c r="AF1306" s="115"/>
      <c r="AG1306" s="115"/>
      <c r="AH1306" s="115"/>
      <c r="AI1306" s="115"/>
      <c r="AJ1306" s="115"/>
      <c r="AK1306" s="116"/>
      <c r="AL1306" s="116"/>
      <c r="AM1306" s="116"/>
      <c r="AN1306" s="117"/>
      <c r="AO1306" s="117"/>
      <c r="AP1306" s="117"/>
      <c r="AQ1306" s="117"/>
      <c r="AR1306" s="117"/>
      <c r="AS1306" s="118"/>
    </row>
    <row r="1307" spans="1:50" s="248" customFormat="1" ht="15.75" x14ac:dyDescent="0.25">
      <c r="A1307" s="66"/>
      <c r="B1307" s="66"/>
      <c r="C1307" s="498" t="s">
        <v>539</v>
      </c>
      <c r="D1307" s="499"/>
      <c r="E1307" s="499"/>
      <c r="F1307" s="499"/>
      <c r="G1307" s="499"/>
      <c r="H1307" s="499"/>
      <c r="I1307" s="499"/>
      <c r="J1307" s="499"/>
      <c r="K1307" s="499"/>
      <c r="L1307" s="499"/>
      <c r="M1307" s="499"/>
      <c r="N1307" s="499"/>
      <c r="O1307" s="499"/>
      <c r="P1307" s="499"/>
      <c r="Q1307" s="499"/>
      <c r="R1307" s="499"/>
      <c r="S1307" s="499"/>
      <c r="T1307" s="499"/>
      <c r="U1307" s="499"/>
      <c r="V1307" s="499"/>
      <c r="W1307" s="499"/>
      <c r="X1307" s="499"/>
      <c r="Y1307" s="499"/>
      <c r="Z1307" s="499"/>
      <c r="AA1307" s="499"/>
      <c r="AB1307" s="499"/>
      <c r="AC1307" s="499"/>
      <c r="AD1307" s="499"/>
      <c r="AE1307" s="499"/>
      <c r="AF1307" s="499"/>
      <c r="AG1307" s="499"/>
      <c r="AH1307" s="499"/>
      <c r="AI1307" s="499"/>
      <c r="AJ1307" s="499"/>
      <c r="AK1307" s="499"/>
      <c r="AL1307" s="499"/>
      <c r="AM1307" s="499"/>
      <c r="AN1307" s="499"/>
      <c r="AO1307" s="499"/>
      <c r="AP1307" s="499"/>
      <c r="AQ1307" s="499"/>
      <c r="AR1307" s="499"/>
      <c r="AS1307" s="500"/>
    </row>
    <row r="1308" spans="1:50" s="35" customFormat="1" x14ac:dyDescent="0.25">
      <c r="A1308" s="68"/>
      <c r="B1308" s="68"/>
      <c r="C1308" s="350" t="s">
        <v>80</v>
      </c>
      <c r="D1308" s="350"/>
      <c r="E1308" s="350"/>
      <c r="F1308" s="350"/>
      <c r="G1308" s="350"/>
      <c r="H1308" s="350"/>
      <c r="I1308" s="350"/>
      <c r="J1308" s="350"/>
      <c r="K1308" s="350"/>
      <c r="L1308" s="350"/>
      <c r="M1308" s="350" t="s">
        <v>545</v>
      </c>
      <c r="N1308" s="350"/>
      <c r="O1308" s="350"/>
      <c r="P1308" s="350"/>
      <c r="Q1308" s="350" t="s">
        <v>546</v>
      </c>
      <c r="R1308" s="350"/>
      <c r="S1308" s="350"/>
      <c r="T1308" s="350" t="s">
        <v>547</v>
      </c>
      <c r="U1308" s="350"/>
      <c r="V1308" s="350"/>
      <c r="W1308" s="350"/>
      <c r="X1308" s="350"/>
      <c r="Y1308" s="350"/>
      <c r="Z1308" s="350"/>
      <c r="AA1308" s="350"/>
      <c r="AB1308" s="350"/>
      <c r="AC1308" s="350" t="s">
        <v>548</v>
      </c>
      <c r="AD1308" s="350"/>
      <c r="AE1308" s="350"/>
      <c r="AF1308" s="350"/>
      <c r="AG1308" s="350"/>
      <c r="AH1308" s="350" t="s">
        <v>549</v>
      </c>
      <c r="AI1308" s="350"/>
      <c r="AJ1308" s="350"/>
      <c r="AK1308" s="484" t="s">
        <v>550</v>
      </c>
      <c r="AL1308" s="484"/>
      <c r="AM1308" s="484"/>
      <c r="AN1308" s="485" t="s">
        <v>945</v>
      </c>
      <c r="AO1308" s="485"/>
      <c r="AP1308" s="485"/>
      <c r="AQ1308" s="485"/>
      <c r="AR1308" s="485"/>
      <c r="AS1308" s="485"/>
    </row>
    <row r="1309" spans="1:50" x14ac:dyDescent="0.25">
      <c r="C1309" s="359" t="s">
        <v>480</v>
      </c>
      <c r="D1309" s="359"/>
      <c r="E1309" s="359"/>
      <c r="F1309" s="359"/>
      <c r="G1309" s="359"/>
      <c r="H1309" s="359"/>
      <c r="I1309" s="359"/>
      <c r="J1309" s="359"/>
      <c r="K1309" s="359"/>
      <c r="L1309" s="359"/>
      <c r="M1309" s="350" t="s">
        <v>408</v>
      </c>
      <c r="N1309" s="350"/>
      <c r="O1309" s="350"/>
      <c r="P1309" s="350"/>
      <c r="Q1309" s="360" t="s">
        <v>421</v>
      </c>
      <c r="R1309" s="360"/>
      <c r="S1309" s="360"/>
      <c r="T1309" s="350" t="s">
        <v>458</v>
      </c>
      <c r="U1309" s="350"/>
      <c r="V1309" s="350"/>
      <c r="W1309" s="350"/>
      <c r="X1309" s="350"/>
      <c r="Y1309" s="350"/>
      <c r="Z1309" s="350"/>
      <c r="AA1309" s="350"/>
      <c r="AB1309" s="350"/>
      <c r="AC1309" s="350" t="s">
        <v>455</v>
      </c>
      <c r="AD1309" s="350"/>
      <c r="AE1309" s="350"/>
      <c r="AF1309" s="350"/>
      <c r="AG1309" s="350"/>
      <c r="AH1309" s="350" t="s">
        <v>427</v>
      </c>
      <c r="AI1309" s="350"/>
      <c r="AJ1309" s="350"/>
      <c r="AK1309" s="484" t="s">
        <v>439</v>
      </c>
      <c r="AL1309" s="484"/>
      <c r="AM1309" s="484"/>
      <c r="AN1309" s="352" t="s">
        <v>881</v>
      </c>
      <c r="AO1309" s="353"/>
      <c r="AP1309" s="353"/>
      <c r="AQ1309" s="353"/>
      <c r="AR1309" s="353"/>
      <c r="AS1309" s="354"/>
      <c r="AW1309" s="35"/>
      <c r="AX1309" s="35"/>
    </row>
    <row r="1310" spans="1:50" x14ac:dyDescent="0.25">
      <c r="C1310" s="359" t="s">
        <v>481</v>
      </c>
      <c r="D1310" s="359"/>
      <c r="E1310" s="359"/>
      <c r="F1310" s="359"/>
      <c r="G1310" s="359"/>
      <c r="H1310" s="359"/>
      <c r="I1310" s="359"/>
      <c r="J1310" s="359"/>
      <c r="K1310" s="359"/>
      <c r="L1310" s="359"/>
      <c r="M1310" s="350" t="s">
        <v>409</v>
      </c>
      <c r="N1310" s="350"/>
      <c r="O1310" s="350"/>
      <c r="P1310" s="350"/>
      <c r="Q1310" s="360" t="s">
        <v>421</v>
      </c>
      <c r="R1310" s="360"/>
      <c r="S1310" s="360"/>
      <c r="T1310" s="350" t="s">
        <v>459</v>
      </c>
      <c r="U1310" s="350"/>
      <c r="V1310" s="350"/>
      <c r="W1310" s="350"/>
      <c r="X1310" s="350"/>
      <c r="Y1310" s="350"/>
      <c r="Z1310" s="350"/>
      <c r="AA1310" s="350"/>
      <c r="AB1310" s="350"/>
      <c r="AC1310" s="350" t="s">
        <v>455</v>
      </c>
      <c r="AD1310" s="350"/>
      <c r="AE1310" s="350"/>
      <c r="AF1310" s="350"/>
      <c r="AG1310" s="350"/>
      <c r="AH1310" s="350" t="s">
        <v>428</v>
      </c>
      <c r="AI1310" s="350"/>
      <c r="AJ1310" s="350"/>
      <c r="AK1310" s="484" t="s">
        <v>440</v>
      </c>
      <c r="AL1310" s="484"/>
      <c r="AM1310" s="484"/>
      <c r="AN1310" s="352" t="s">
        <v>881</v>
      </c>
      <c r="AO1310" s="353"/>
      <c r="AP1310" s="353"/>
      <c r="AQ1310" s="353"/>
      <c r="AR1310" s="353"/>
      <c r="AS1310" s="354"/>
      <c r="AW1310" s="35"/>
      <c r="AX1310" s="35"/>
    </row>
    <row r="1311" spans="1:50" x14ac:dyDescent="0.25">
      <c r="C1311" s="359" t="s">
        <v>482</v>
      </c>
      <c r="D1311" s="359"/>
      <c r="E1311" s="359"/>
      <c r="F1311" s="359"/>
      <c r="G1311" s="359"/>
      <c r="H1311" s="359"/>
      <c r="I1311" s="359"/>
      <c r="J1311" s="359"/>
      <c r="K1311" s="359"/>
      <c r="L1311" s="359"/>
      <c r="M1311" s="350" t="s">
        <v>410</v>
      </c>
      <c r="N1311" s="350"/>
      <c r="O1311" s="350"/>
      <c r="P1311" s="350"/>
      <c r="Q1311" s="360" t="s">
        <v>421</v>
      </c>
      <c r="R1311" s="360"/>
      <c r="S1311" s="360"/>
      <c r="T1311" s="350" t="s">
        <v>460</v>
      </c>
      <c r="U1311" s="350"/>
      <c r="V1311" s="350"/>
      <c r="W1311" s="350"/>
      <c r="X1311" s="350"/>
      <c r="Y1311" s="350"/>
      <c r="Z1311" s="350"/>
      <c r="AA1311" s="350"/>
      <c r="AB1311" s="350"/>
      <c r="AC1311" s="350" t="s">
        <v>455</v>
      </c>
      <c r="AD1311" s="350"/>
      <c r="AE1311" s="350"/>
      <c r="AF1311" s="350"/>
      <c r="AG1311" s="350"/>
      <c r="AH1311" s="350" t="s">
        <v>428</v>
      </c>
      <c r="AI1311" s="350"/>
      <c r="AJ1311" s="350"/>
      <c r="AK1311" s="484" t="s">
        <v>440</v>
      </c>
      <c r="AL1311" s="484"/>
      <c r="AM1311" s="484"/>
      <c r="AN1311" s="352" t="s">
        <v>881</v>
      </c>
      <c r="AO1311" s="353"/>
      <c r="AP1311" s="353"/>
      <c r="AQ1311" s="353"/>
      <c r="AR1311" s="353"/>
      <c r="AS1311" s="354"/>
      <c r="AW1311" s="35"/>
      <c r="AX1311" s="35"/>
    </row>
    <row r="1312" spans="1:50" x14ac:dyDescent="0.25">
      <c r="C1312" s="359" t="s">
        <v>483</v>
      </c>
      <c r="D1312" s="359"/>
      <c r="E1312" s="359"/>
      <c r="F1312" s="359"/>
      <c r="G1312" s="359"/>
      <c r="H1312" s="359"/>
      <c r="I1312" s="359"/>
      <c r="J1312" s="359"/>
      <c r="K1312" s="359"/>
      <c r="L1312" s="359"/>
      <c r="M1312" s="350" t="s">
        <v>411</v>
      </c>
      <c r="N1312" s="350"/>
      <c r="O1312" s="350"/>
      <c r="P1312" s="350"/>
      <c r="Q1312" s="360" t="s">
        <v>421</v>
      </c>
      <c r="R1312" s="360"/>
      <c r="S1312" s="360"/>
      <c r="T1312" s="350" t="s">
        <v>461</v>
      </c>
      <c r="U1312" s="350"/>
      <c r="V1312" s="350"/>
      <c r="W1312" s="350"/>
      <c r="X1312" s="350"/>
      <c r="Y1312" s="350"/>
      <c r="Z1312" s="350"/>
      <c r="AA1312" s="350"/>
      <c r="AB1312" s="350"/>
      <c r="AC1312" s="350" t="s">
        <v>455</v>
      </c>
      <c r="AD1312" s="350"/>
      <c r="AE1312" s="350"/>
      <c r="AF1312" s="350"/>
      <c r="AG1312" s="350"/>
      <c r="AH1312" s="350" t="s">
        <v>429</v>
      </c>
      <c r="AI1312" s="350"/>
      <c r="AJ1312" s="350"/>
      <c r="AK1312" s="484" t="s">
        <v>441</v>
      </c>
      <c r="AL1312" s="484"/>
      <c r="AM1312" s="484"/>
      <c r="AN1312" s="352" t="s">
        <v>881</v>
      </c>
      <c r="AO1312" s="353"/>
      <c r="AP1312" s="353"/>
      <c r="AQ1312" s="353"/>
      <c r="AR1312" s="353"/>
      <c r="AS1312" s="354"/>
      <c r="AW1312" s="35"/>
      <c r="AX1312" s="35"/>
    </row>
    <row r="1313" spans="1:50" x14ac:dyDescent="0.25">
      <c r="C1313" s="359" t="s">
        <v>484</v>
      </c>
      <c r="D1313" s="359"/>
      <c r="E1313" s="359"/>
      <c r="F1313" s="359"/>
      <c r="G1313" s="359"/>
      <c r="H1313" s="359"/>
      <c r="I1313" s="359"/>
      <c r="J1313" s="359"/>
      <c r="K1313" s="359"/>
      <c r="L1313" s="359"/>
      <c r="M1313" s="350" t="s">
        <v>412</v>
      </c>
      <c r="N1313" s="350"/>
      <c r="O1313" s="350"/>
      <c r="P1313" s="350"/>
      <c r="Q1313" s="360" t="s">
        <v>421</v>
      </c>
      <c r="R1313" s="360"/>
      <c r="S1313" s="360"/>
      <c r="T1313" s="350" t="s">
        <v>462</v>
      </c>
      <c r="U1313" s="350"/>
      <c r="V1313" s="350"/>
      <c r="W1313" s="350"/>
      <c r="X1313" s="350"/>
      <c r="Y1313" s="350"/>
      <c r="Z1313" s="350"/>
      <c r="AA1313" s="350"/>
      <c r="AB1313" s="350"/>
      <c r="AC1313" s="350" t="s">
        <v>455</v>
      </c>
      <c r="AD1313" s="350"/>
      <c r="AE1313" s="350"/>
      <c r="AF1313" s="350"/>
      <c r="AG1313" s="350"/>
      <c r="AH1313" s="350" t="s">
        <v>429</v>
      </c>
      <c r="AI1313" s="350"/>
      <c r="AJ1313" s="350"/>
      <c r="AK1313" s="484"/>
      <c r="AL1313" s="484"/>
      <c r="AM1313" s="484"/>
      <c r="AN1313" s="352" t="s">
        <v>881</v>
      </c>
      <c r="AO1313" s="353"/>
      <c r="AP1313" s="353"/>
      <c r="AQ1313" s="353"/>
      <c r="AR1313" s="353"/>
      <c r="AS1313" s="354"/>
      <c r="AW1313" s="35"/>
      <c r="AX1313" s="35"/>
    </row>
    <row r="1314" spans="1:50" x14ac:dyDescent="0.25">
      <c r="C1314" s="359" t="s">
        <v>485</v>
      </c>
      <c r="D1314" s="359"/>
      <c r="E1314" s="359"/>
      <c r="F1314" s="359"/>
      <c r="G1314" s="359"/>
      <c r="H1314" s="359"/>
      <c r="I1314" s="359"/>
      <c r="J1314" s="359"/>
      <c r="K1314" s="359"/>
      <c r="L1314" s="359"/>
      <c r="M1314" s="350" t="s">
        <v>408</v>
      </c>
      <c r="N1314" s="350"/>
      <c r="O1314" s="350"/>
      <c r="P1314" s="350"/>
      <c r="Q1314" s="361" t="s">
        <v>422</v>
      </c>
      <c r="R1314" s="361"/>
      <c r="S1314" s="361"/>
      <c r="T1314" s="350" t="s">
        <v>458</v>
      </c>
      <c r="U1314" s="350"/>
      <c r="V1314" s="350"/>
      <c r="W1314" s="350"/>
      <c r="X1314" s="350"/>
      <c r="Y1314" s="350"/>
      <c r="Z1314" s="350"/>
      <c r="AA1314" s="350"/>
      <c r="AB1314" s="350"/>
      <c r="AC1314" s="350" t="s">
        <v>455</v>
      </c>
      <c r="AD1314" s="350"/>
      <c r="AE1314" s="350"/>
      <c r="AF1314" s="350"/>
      <c r="AG1314" s="350"/>
      <c r="AH1314" s="350" t="s">
        <v>427</v>
      </c>
      <c r="AI1314" s="350"/>
      <c r="AJ1314" s="350"/>
      <c r="AK1314" s="484" t="s">
        <v>439</v>
      </c>
      <c r="AL1314" s="484"/>
      <c r="AM1314" s="484"/>
      <c r="AN1314" s="352" t="s">
        <v>881</v>
      </c>
      <c r="AO1314" s="353"/>
      <c r="AP1314" s="353"/>
      <c r="AQ1314" s="353"/>
      <c r="AR1314" s="353"/>
      <c r="AS1314" s="354"/>
      <c r="AW1314" s="35"/>
      <c r="AX1314" s="35"/>
    </row>
    <row r="1315" spans="1:50" x14ac:dyDescent="0.25">
      <c r="C1315" s="359" t="s">
        <v>486</v>
      </c>
      <c r="D1315" s="359"/>
      <c r="E1315" s="359"/>
      <c r="F1315" s="359"/>
      <c r="G1315" s="359"/>
      <c r="H1315" s="359"/>
      <c r="I1315" s="359"/>
      <c r="J1315" s="359"/>
      <c r="K1315" s="359"/>
      <c r="L1315" s="359"/>
      <c r="M1315" s="350" t="s">
        <v>409</v>
      </c>
      <c r="N1315" s="350"/>
      <c r="O1315" s="350"/>
      <c r="P1315" s="350"/>
      <c r="Q1315" s="361" t="s">
        <v>422</v>
      </c>
      <c r="R1315" s="361"/>
      <c r="S1315" s="361"/>
      <c r="T1315" s="350" t="s">
        <v>459</v>
      </c>
      <c r="U1315" s="350"/>
      <c r="V1315" s="350"/>
      <c r="W1315" s="350"/>
      <c r="X1315" s="350"/>
      <c r="Y1315" s="350"/>
      <c r="Z1315" s="350"/>
      <c r="AA1315" s="350"/>
      <c r="AB1315" s="350"/>
      <c r="AC1315" s="350" t="s">
        <v>455</v>
      </c>
      <c r="AD1315" s="350"/>
      <c r="AE1315" s="350"/>
      <c r="AF1315" s="350"/>
      <c r="AG1315" s="350"/>
      <c r="AH1315" s="350" t="s">
        <v>428</v>
      </c>
      <c r="AI1315" s="350"/>
      <c r="AJ1315" s="350"/>
      <c r="AK1315" s="484" t="s">
        <v>440</v>
      </c>
      <c r="AL1315" s="484"/>
      <c r="AM1315" s="484"/>
      <c r="AN1315" s="352" t="s">
        <v>881</v>
      </c>
      <c r="AO1315" s="353"/>
      <c r="AP1315" s="353"/>
      <c r="AQ1315" s="353"/>
      <c r="AR1315" s="353"/>
      <c r="AS1315" s="354"/>
      <c r="AW1315" s="35"/>
      <c r="AX1315" s="35"/>
    </row>
    <row r="1316" spans="1:50" x14ac:dyDescent="0.25">
      <c r="C1316" s="359" t="s">
        <v>487</v>
      </c>
      <c r="D1316" s="359"/>
      <c r="E1316" s="359"/>
      <c r="F1316" s="359"/>
      <c r="G1316" s="359"/>
      <c r="H1316" s="359"/>
      <c r="I1316" s="359"/>
      <c r="J1316" s="359"/>
      <c r="K1316" s="359"/>
      <c r="L1316" s="359"/>
      <c r="M1316" s="350" t="s">
        <v>410</v>
      </c>
      <c r="N1316" s="350"/>
      <c r="O1316" s="350"/>
      <c r="P1316" s="350"/>
      <c r="Q1316" s="361" t="s">
        <v>422</v>
      </c>
      <c r="R1316" s="361"/>
      <c r="S1316" s="361"/>
      <c r="T1316" s="350" t="s">
        <v>460</v>
      </c>
      <c r="U1316" s="350"/>
      <c r="V1316" s="350"/>
      <c r="W1316" s="350"/>
      <c r="X1316" s="350"/>
      <c r="Y1316" s="350"/>
      <c r="Z1316" s="350"/>
      <c r="AA1316" s="350"/>
      <c r="AB1316" s="350"/>
      <c r="AC1316" s="350" t="s">
        <v>455</v>
      </c>
      <c r="AD1316" s="350"/>
      <c r="AE1316" s="350"/>
      <c r="AF1316" s="350"/>
      <c r="AG1316" s="350"/>
      <c r="AH1316" s="350" t="s">
        <v>428</v>
      </c>
      <c r="AI1316" s="350"/>
      <c r="AJ1316" s="350"/>
      <c r="AK1316" s="484" t="s">
        <v>440</v>
      </c>
      <c r="AL1316" s="484"/>
      <c r="AM1316" s="484"/>
      <c r="AN1316" s="352" t="s">
        <v>881</v>
      </c>
      <c r="AO1316" s="353"/>
      <c r="AP1316" s="353"/>
      <c r="AQ1316" s="353"/>
      <c r="AR1316" s="353"/>
      <c r="AS1316" s="354"/>
      <c r="AW1316" s="35"/>
      <c r="AX1316" s="35"/>
    </row>
    <row r="1317" spans="1:50" x14ac:dyDescent="0.25">
      <c r="C1317" s="359" t="s">
        <v>488</v>
      </c>
      <c r="D1317" s="359"/>
      <c r="E1317" s="359"/>
      <c r="F1317" s="359"/>
      <c r="G1317" s="359"/>
      <c r="H1317" s="359"/>
      <c r="I1317" s="359"/>
      <c r="J1317" s="359"/>
      <c r="K1317" s="359"/>
      <c r="L1317" s="359"/>
      <c r="M1317" s="350" t="s">
        <v>411</v>
      </c>
      <c r="N1317" s="350"/>
      <c r="O1317" s="350"/>
      <c r="P1317" s="350"/>
      <c r="Q1317" s="361" t="s">
        <v>422</v>
      </c>
      <c r="R1317" s="361"/>
      <c r="S1317" s="361"/>
      <c r="T1317" s="350" t="s">
        <v>461</v>
      </c>
      <c r="U1317" s="350"/>
      <c r="V1317" s="350"/>
      <c r="W1317" s="350"/>
      <c r="X1317" s="350"/>
      <c r="Y1317" s="350"/>
      <c r="Z1317" s="350"/>
      <c r="AA1317" s="350"/>
      <c r="AB1317" s="350"/>
      <c r="AC1317" s="350" t="s">
        <v>455</v>
      </c>
      <c r="AD1317" s="350"/>
      <c r="AE1317" s="350"/>
      <c r="AF1317" s="350"/>
      <c r="AG1317" s="350"/>
      <c r="AH1317" s="350" t="s">
        <v>429</v>
      </c>
      <c r="AI1317" s="350"/>
      <c r="AJ1317" s="350"/>
      <c r="AK1317" s="484" t="s">
        <v>441</v>
      </c>
      <c r="AL1317" s="484"/>
      <c r="AM1317" s="484"/>
      <c r="AN1317" s="352" t="s">
        <v>881</v>
      </c>
      <c r="AO1317" s="353"/>
      <c r="AP1317" s="353"/>
      <c r="AQ1317" s="353"/>
      <c r="AR1317" s="353"/>
      <c r="AS1317" s="354"/>
      <c r="AW1317" s="35"/>
      <c r="AX1317" s="35"/>
    </row>
    <row r="1318" spans="1:50" x14ac:dyDescent="0.25">
      <c r="C1318" s="359" t="s">
        <v>489</v>
      </c>
      <c r="D1318" s="359"/>
      <c r="E1318" s="359"/>
      <c r="F1318" s="359"/>
      <c r="G1318" s="359"/>
      <c r="H1318" s="359"/>
      <c r="I1318" s="359"/>
      <c r="J1318" s="359"/>
      <c r="K1318" s="359"/>
      <c r="L1318" s="359"/>
      <c r="M1318" s="350" t="s">
        <v>412</v>
      </c>
      <c r="N1318" s="350"/>
      <c r="O1318" s="350"/>
      <c r="P1318" s="350"/>
      <c r="Q1318" s="361" t="s">
        <v>422</v>
      </c>
      <c r="R1318" s="361"/>
      <c r="S1318" s="361"/>
      <c r="T1318" s="350" t="s">
        <v>462</v>
      </c>
      <c r="U1318" s="350"/>
      <c r="V1318" s="350"/>
      <c r="W1318" s="350"/>
      <c r="X1318" s="350"/>
      <c r="Y1318" s="350"/>
      <c r="Z1318" s="350"/>
      <c r="AA1318" s="350"/>
      <c r="AB1318" s="350"/>
      <c r="AC1318" s="350" t="s">
        <v>455</v>
      </c>
      <c r="AD1318" s="350"/>
      <c r="AE1318" s="350"/>
      <c r="AF1318" s="350"/>
      <c r="AG1318" s="350"/>
      <c r="AH1318" s="350" t="s">
        <v>429</v>
      </c>
      <c r="AI1318" s="350"/>
      <c r="AJ1318" s="350"/>
      <c r="AK1318" s="484"/>
      <c r="AL1318" s="484"/>
      <c r="AM1318" s="484"/>
      <c r="AN1318" s="352" t="s">
        <v>881</v>
      </c>
      <c r="AO1318" s="353"/>
      <c r="AP1318" s="353"/>
      <c r="AQ1318" s="353"/>
      <c r="AR1318" s="353"/>
      <c r="AS1318" s="354"/>
      <c r="AW1318" s="35"/>
      <c r="AX1318" s="35"/>
    </row>
    <row r="1319" spans="1:50" x14ac:dyDescent="0.25">
      <c r="C1319" s="363" t="s">
        <v>484</v>
      </c>
      <c r="D1319" s="335"/>
      <c r="E1319" s="335"/>
      <c r="F1319" s="335"/>
      <c r="G1319" s="335"/>
      <c r="H1319" s="335"/>
      <c r="I1319" s="335"/>
      <c r="J1319" s="335"/>
      <c r="K1319" s="335"/>
      <c r="L1319" s="335"/>
      <c r="M1319" s="362" t="s">
        <v>412</v>
      </c>
      <c r="N1319" s="362"/>
      <c r="O1319" s="362"/>
      <c r="P1319" s="362"/>
      <c r="Q1319" s="371" t="s">
        <v>421</v>
      </c>
      <c r="R1319" s="371"/>
      <c r="S1319" s="371"/>
      <c r="T1319" s="350" t="s">
        <v>462</v>
      </c>
      <c r="U1319" s="350"/>
      <c r="V1319" s="350"/>
      <c r="W1319" s="350"/>
      <c r="X1319" s="350"/>
      <c r="Y1319" s="350"/>
      <c r="Z1319" s="350"/>
      <c r="AA1319" s="350"/>
      <c r="AB1319" s="350"/>
      <c r="AC1319" s="362" t="s">
        <v>456</v>
      </c>
      <c r="AD1319" s="362"/>
      <c r="AE1319" s="362"/>
      <c r="AF1319" s="362"/>
      <c r="AG1319" s="362"/>
      <c r="AH1319" s="362" t="s">
        <v>887</v>
      </c>
      <c r="AI1319" s="362"/>
      <c r="AJ1319" s="362"/>
      <c r="AK1319" s="387"/>
      <c r="AL1319" s="387"/>
      <c r="AM1319" s="387"/>
      <c r="AN1319" s="352" t="s">
        <v>881</v>
      </c>
      <c r="AO1319" s="353"/>
      <c r="AP1319" s="353"/>
      <c r="AQ1319" s="353"/>
      <c r="AR1319" s="353"/>
      <c r="AS1319" s="354"/>
      <c r="AW1319" s="35"/>
      <c r="AX1319" s="35"/>
    </row>
    <row r="1320" spans="1:50" x14ac:dyDescent="0.25">
      <c r="C1320" s="363" t="s">
        <v>886</v>
      </c>
      <c r="D1320" s="335"/>
      <c r="E1320" s="335"/>
      <c r="F1320" s="335"/>
      <c r="G1320" s="335"/>
      <c r="H1320" s="335"/>
      <c r="I1320" s="335"/>
      <c r="J1320" s="335"/>
      <c r="K1320" s="335"/>
      <c r="L1320" s="335"/>
      <c r="M1320" s="335"/>
      <c r="N1320" s="335"/>
      <c r="O1320" s="335"/>
      <c r="P1320" s="335"/>
      <c r="Q1320" s="335"/>
      <c r="R1320" s="335"/>
      <c r="S1320" s="335"/>
      <c r="T1320" s="335"/>
      <c r="U1320" s="335"/>
      <c r="V1320" s="335"/>
      <c r="W1320" s="335"/>
      <c r="X1320" s="335"/>
      <c r="Y1320" s="335"/>
      <c r="Z1320" s="335"/>
      <c r="AA1320" s="335"/>
      <c r="AB1320" s="335"/>
      <c r="AC1320" s="335"/>
      <c r="AD1320" s="335"/>
      <c r="AE1320" s="335"/>
      <c r="AF1320" s="335"/>
      <c r="AG1320" s="335"/>
      <c r="AH1320" s="335"/>
      <c r="AI1320" s="335"/>
      <c r="AJ1320" s="335"/>
      <c r="AK1320" s="335"/>
      <c r="AL1320" s="335"/>
      <c r="AM1320" s="335"/>
      <c r="AN1320" s="352" t="s">
        <v>881</v>
      </c>
      <c r="AO1320" s="353"/>
      <c r="AP1320" s="353"/>
      <c r="AQ1320" s="353"/>
      <c r="AR1320" s="353"/>
      <c r="AS1320" s="354"/>
      <c r="AW1320" s="35"/>
      <c r="AX1320" s="35"/>
    </row>
    <row r="1321" spans="1:50" ht="12.75" x14ac:dyDescent="0.2">
      <c r="A1321" s="30"/>
      <c r="B1321" s="30"/>
      <c r="C1321" s="372" t="s">
        <v>945</v>
      </c>
      <c r="D1321" s="373"/>
      <c r="E1321" s="373"/>
      <c r="F1321" s="373"/>
      <c r="G1321" s="373"/>
      <c r="H1321" s="373"/>
      <c r="I1321" s="373"/>
      <c r="J1321" s="373"/>
      <c r="K1321" s="373"/>
      <c r="L1321" s="373"/>
      <c r="M1321" s="373"/>
      <c r="N1321" s="373"/>
      <c r="O1321" s="373"/>
      <c r="P1321" s="373"/>
      <c r="Q1321" s="373"/>
      <c r="R1321" s="373"/>
      <c r="S1321" s="373"/>
      <c r="T1321" s="373"/>
      <c r="U1321" s="373"/>
      <c r="V1321" s="373"/>
      <c r="W1321" s="373"/>
      <c r="X1321" s="373"/>
      <c r="Y1321" s="373"/>
      <c r="Z1321" s="373"/>
      <c r="AA1321" s="373"/>
      <c r="AB1321" s="373"/>
      <c r="AC1321" s="373"/>
      <c r="AD1321" s="373"/>
      <c r="AE1321" s="373"/>
      <c r="AF1321" s="373"/>
      <c r="AG1321" s="373"/>
      <c r="AH1321" s="373"/>
      <c r="AI1321" s="373"/>
      <c r="AJ1321" s="373"/>
      <c r="AK1321" s="373"/>
      <c r="AL1321" s="373"/>
      <c r="AM1321" s="373"/>
      <c r="AN1321" s="373"/>
      <c r="AO1321" s="373"/>
      <c r="AP1321" s="373"/>
      <c r="AQ1321" s="373"/>
      <c r="AR1321" s="373"/>
      <c r="AS1321" s="374"/>
      <c r="AW1321" s="35"/>
      <c r="AX1321" s="35"/>
    </row>
    <row r="1322" spans="1:50" ht="12.75" x14ac:dyDescent="0.2">
      <c r="A1322" s="30"/>
      <c r="B1322" s="30"/>
      <c r="C1322" s="363" t="s">
        <v>888</v>
      </c>
      <c r="D1322" s="335"/>
      <c r="E1322" s="335"/>
      <c r="F1322" s="335"/>
      <c r="G1322" s="335"/>
      <c r="H1322" s="335"/>
      <c r="I1322" s="335"/>
      <c r="J1322" s="335"/>
      <c r="K1322" s="335"/>
      <c r="L1322" s="335"/>
      <c r="M1322" s="362" t="s">
        <v>407</v>
      </c>
      <c r="N1322" s="362"/>
      <c r="O1322" s="362"/>
      <c r="P1322" s="362"/>
      <c r="Q1322" s="360" t="s">
        <v>421</v>
      </c>
      <c r="R1322" s="360"/>
      <c r="S1322" s="360"/>
      <c r="T1322" s="362" t="s">
        <v>457</v>
      </c>
      <c r="U1322" s="362"/>
      <c r="V1322" s="362"/>
      <c r="W1322" s="362"/>
      <c r="X1322" s="362"/>
      <c r="Y1322" s="362"/>
      <c r="Z1322" s="362"/>
      <c r="AA1322" s="362"/>
      <c r="AB1322" s="362"/>
      <c r="AC1322" s="350" t="s">
        <v>455</v>
      </c>
      <c r="AD1322" s="350"/>
      <c r="AE1322" s="350"/>
      <c r="AF1322" s="350"/>
      <c r="AG1322" s="350"/>
      <c r="AH1322" s="335" t="s">
        <v>889</v>
      </c>
      <c r="AI1322" s="335"/>
      <c r="AJ1322" s="335"/>
      <c r="AK1322" s="335"/>
      <c r="AL1322" s="335"/>
      <c r="AM1322" s="335"/>
      <c r="AN1322" s="357" t="s">
        <v>881</v>
      </c>
      <c r="AO1322" s="357"/>
      <c r="AP1322" s="357"/>
      <c r="AQ1322" s="357"/>
      <c r="AR1322" s="357"/>
      <c r="AS1322" s="357"/>
      <c r="AT1322" s="357"/>
      <c r="AU1322" s="357"/>
      <c r="AV1322" s="357"/>
      <c r="AW1322" s="357"/>
      <c r="AX1322" s="35"/>
    </row>
    <row r="1323" spans="1:50" ht="12.75" x14ac:dyDescent="0.2">
      <c r="A1323" s="30"/>
      <c r="B1323" s="30"/>
      <c r="C1323" s="363" t="s">
        <v>480</v>
      </c>
      <c r="D1323" s="335"/>
      <c r="E1323" s="335"/>
      <c r="F1323" s="335"/>
      <c r="G1323" s="335"/>
      <c r="H1323" s="335"/>
      <c r="I1323" s="335"/>
      <c r="J1323" s="335"/>
      <c r="K1323" s="335"/>
      <c r="L1323" s="335"/>
      <c r="M1323" s="362" t="s">
        <v>408</v>
      </c>
      <c r="N1323" s="362"/>
      <c r="O1323" s="362"/>
      <c r="P1323" s="362"/>
      <c r="Q1323" s="360" t="s">
        <v>421</v>
      </c>
      <c r="R1323" s="360"/>
      <c r="S1323" s="360"/>
      <c r="T1323" s="362" t="s">
        <v>458</v>
      </c>
      <c r="U1323" s="362"/>
      <c r="V1323" s="362"/>
      <c r="W1323" s="362"/>
      <c r="X1323" s="362"/>
      <c r="Y1323" s="362"/>
      <c r="Z1323" s="362"/>
      <c r="AA1323" s="362"/>
      <c r="AB1323" s="362"/>
      <c r="AC1323" s="350" t="s">
        <v>455</v>
      </c>
      <c r="AD1323" s="350"/>
      <c r="AE1323" s="350"/>
      <c r="AF1323" s="350"/>
      <c r="AG1323" s="350"/>
      <c r="AH1323" s="335" t="s">
        <v>427</v>
      </c>
      <c r="AI1323" s="335"/>
      <c r="AJ1323" s="335"/>
      <c r="AK1323" s="335"/>
      <c r="AL1323" s="335"/>
      <c r="AM1323" s="335"/>
      <c r="AN1323" s="357" t="s">
        <v>881</v>
      </c>
      <c r="AO1323" s="357"/>
      <c r="AP1323" s="357"/>
      <c r="AQ1323" s="357"/>
      <c r="AR1323" s="357"/>
      <c r="AS1323" s="357"/>
      <c r="AT1323" s="357"/>
      <c r="AU1323" s="357"/>
      <c r="AV1323" s="357"/>
      <c r="AW1323" s="357"/>
      <c r="AX1323" s="35"/>
    </row>
    <row r="1324" spans="1:50" ht="12.75" x14ac:dyDescent="0.2">
      <c r="A1324" s="30"/>
      <c r="B1324" s="30"/>
      <c r="C1324" s="363" t="s">
        <v>481</v>
      </c>
      <c r="D1324" s="335"/>
      <c r="E1324" s="335"/>
      <c r="F1324" s="335"/>
      <c r="G1324" s="335"/>
      <c r="H1324" s="335"/>
      <c r="I1324" s="335"/>
      <c r="J1324" s="335"/>
      <c r="K1324" s="335"/>
      <c r="L1324" s="335"/>
      <c r="M1324" s="362" t="s">
        <v>409</v>
      </c>
      <c r="N1324" s="362"/>
      <c r="O1324" s="362"/>
      <c r="P1324" s="362"/>
      <c r="Q1324" s="360" t="s">
        <v>421</v>
      </c>
      <c r="R1324" s="360"/>
      <c r="S1324" s="360"/>
      <c r="T1324" s="362" t="s">
        <v>459</v>
      </c>
      <c r="U1324" s="362"/>
      <c r="V1324" s="362"/>
      <c r="W1324" s="362"/>
      <c r="X1324" s="362"/>
      <c r="Y1324" s="362"/>
      <c r="Z1324" s="362"/>
      <c r="AA1324" s="362"/>
      <c r="AB1324" s="362"/>
      <c r="AC1324" s="350" t="s">
        <v>455</v>
      </c>
      <c r="AD1324" s="350"/>
      <c r="AE1324" s="350"/>
      <c r="AF1324" s="350"/>
      <c r="AG1324" s="350"/>
      <c r="AH1324" s="335" t="s">
        <v>428</v>
      </c>
      <c r="AI1324" s="335"/>
      <c r="AJ1324" s="335"/>
      <c r="AK1324" s="335"/>
      <c r="AL1324" s="335"/>
      <c r="AM1324" s="335"/>
      <c r="AN1324" s="357" t="s">
        <v>881</v>
      </c>
      <c r="AO1324" s="357"/>
      <c r="AP1324" s="357"/>
      <c r="AQ1324" s="357"/>
      <c r="AR1324" s="357"/>
      <c r="AS1324" s="357"/>
      <c r="AT1324" s="357"/>
      <c r="AU1324" s="357"/>
      <c r="AV1324" s="357"/>
      <c r="AW1324" s="357"/>
      <c r="AX1324" s="35"/>
    </row>
    <row r="1325" spans="1:50" ht="12.75" x14ac:dyDescent="0.2">
      <c r="A1325" s="30"/>
      <c r="B1325" s="30"/>
      <c r="C1325" s="363" t="s">
        <v>482</v>
      </c>
      <c r="D1325" s="335"/>
      <c r="E1325" s="335"/>
      <c r="F1325" s="335"/>
      <c r="G1325" s="335"/>
      <c r="H1325" s="335"/>
      <c r="I1325" s="335"/>
      <c r="J1325" s="335"/>
      <c r="K1325" s="335"/>
      <c r="L1325" s="335"/>
      <c r="M1325" s="362" t="s">
        <v>410</v>
      </c>
      <c r="N1325" s="362"/>
      <c r="O1325" s="362"/>
      <c r="P1325" s="362"/>
      <c r="Q1325" s="360" t="s">
        <v>421</v>
      </c>
      <c r="R1325" s="360"/>
      <c r="S1325" s="360"/>
      <c r="T1325" s="362" t="s">
        <v>460</v>
      </c>
      <c r="U1325" s="362"/>
      <c r="V1325" s="362"/>
      <c r="W1325" s="362"/>
      <c r="X1325" s="362"/>
      <c r="Y1325" s="362"/>
      <c r="Z1325" s="362"/>
      <c r="AA1325" s="362"/>
      <c r="AB1325" s="362"/>
      <c r="AC1325" s="350" t="s">
        <v>455</v>
      </c>
      <c r="AD1325" s="350"/>
      <c r="AE1325" s="350"/>
      <c r="AF1325" s="350"/>
      <c r="AG1325" s="350"/>
      <c r="AH1325" s="335" t="s">
        <v>428</v>
      </c>
      <c r="AI1325" s="335"/>
      <c r="AJ1325" s="335"/>
      <c r="AK1325" s="335"/>
      <c r="AL1325" s="335"/>
      <c r="AM1325" s="335"/>
      <c r="AN1325" s="357" t="s">
        <v>881</v>
      </c>
      <c r="AO1325" s="357"/>
      <c r="AP1325" s="357"/>
      <c r="AQ1325" s="357"/>
      <c r="AR1325" s="357"/>
      <c r="AS1325" s="357"/>
      <c r="AT1325" s="357"/>
      <c r="AU1325" s="357"/>
      <c r="AV1325" s="357"/>
      <c r="AW1325" s="357"/>
      <c r="AX1325" s="35"/>
    </row>
    <row r="1326" spans="1:50" ht="12.75" x14ac:dyDescent="0.2">
      <c r="A1326" s="30"/>
      <c r="B1326" s="30"/>
      <c r="C1326" s="363" t="s">
        <v>483</v>
      </c>
      <c r="D1326" s="335"/>
      <c r="E1326" s="335"/>
      <c r="F1326" s="335"/>
      <c r="G1326" s="335"/>
      <c r="H1326" s="335"/>
      <c r="I1326" s="335"/>
      <c r="J1326" s="335"/>
      <c r="K1326" s="335"/>
      <c r="L1326" s="335"/>
      <c r="M1326" s="362" t="s">
        <v>411</v>
      </c>
      <c r="N1326" s="362"/>
      <c r="O1326" s="362"/>
      <c r="P1326" s="362"/>
      <c r="Q1326" s="360" t="s">
        <v>421</v>
      </c>
      <c r="R1326" s="360"/>
      <c r="S1326" s="360"/>
      <c r="T1326" s="362" t="s">
        <v>461</v>
      </c>
      <c r="U1326" s="362"/>
      <c r="V1326" s="362"/>
      <c r="W1326" s="362"/>
      <c r="X1326" s="362"/>
      <c r="Y1326" s="362"/>
      <c r="Z1326" s="362"/>
      <c r="AA1326" s="362"/>
      <c r="AB1326" s="362"/>
      <c r="AC1326" s="350" t="s">
        <v>455</v>
      </c>
      <c r="AD1326" s="350"/>
      <c r="AE1326" s="350"/>
      <c r="AF1326" s="350"/>
      <c r="AG1326" s="350"/>
      <c r="AH1326" s="335" t="s">
        <v>429</v>
      </c>
      <c r="AI1326" s="335"/>
      <c r="AJ1326" s="335"/>
      <c r="AK1326" s="335"/>
      <c r="AL1326" s="335"/>
      <c r="AM1326" s="335"/>
      <c r="AN1326" s="357" t="s">
        <v>881</v>
      </c>
      <c r="AO1326" s="357"/>
      <c r="AP1326" s="357"/>
      <c r="AQ1326" s="357"/>
      <c r="AR1326" s="357"/>
      <c r="AS1326" s="357"/>
      <c r="AT1326" s="357"/>
      <c r="AU1326" s="357"/>
      <c r="AV1326" s="357"/>
      <c r="AW1326" s="357"/>
      <c r="AX1326" s="35"/>
    </row>
    <row r="1327" spans="1:50" ht="12.75" x14ac:dyDescent="0.2">
      <c r="A1327" s="30"/>
      <c r="B1327" s="30"/>
      <c r="C1327" s="363" t="s">
        <v>484</v>
      </c>
      <c r="D1327" s="335"/>
      <c r="E1327" s="335"/>
      <c r="F1327" s="335"/>
      <c r="G1327" s="335"/>
      <c r="H1327" s="335"/>
      <c r="I1327" s="335"/>
      <c r="J1327" s="335"/>
      <c r="K1327" s="335"/>
      <c r="L1327" s="335"/>
      <c r="M1327" s="362" t="s">
        <v>412</v>
      </c>
      <c r="N1327" s="362"/>
      <c r="O1327" s="362"/>
      <c r="P1327" s="362"/>
      <c r="Q1327" s="360" t="s">
        <v>421</v>
      </c>
      <c r="R1327" s="360"/>
      <c r="S1327" s="360"/>
      <c r="T1327" s="362" t="s">
        <v>462</v>
      </c>
      <c r="U1327" s="362"/>
      <c r="V1327" s="362"/>
      <c r="W1327" s="362"/>
      <c r="X1327" s="362"/>
      <c r="Y1327" s="362"/>
      <c r="Z1327" s="362"/>
      <c r="AA1327" s="362"/>
      <c r="AB1327" s="362"/>
      <c r="AC1327" s="350" t="s">
        <v>455</v>
      </c>
      <c r="AD1327" s="350"/>
      <c r="AE1327" s="350"/>
      <c r="AF1327" s="350"/>
      <c r="AG1327" s="350"/>
      <c r="AH1327" s="335" t="s">
        <v>429</v>
      </c>
      <c r="AI1327" s="335"/>
      <c r="AJ1327" s="335"/>
      <c r="AK1327" s="335"/>
      <c r="AL1327" s="335"/>
      <c r="AM1327" s="335"/>
      <c r="AN1327" s="357" t="s">
        <v>881</v>
      </c>
      <c r="AO1327" s="357"/>
      <c r="AP1327" s="357"/>
      <c r="AQ1327" s="357"/>
      <c r="AR1327" s="357"/>
      <c r="AS1327" s="357"/>
      <c r="AT1327" s="357"/>
      <c r="AU1327" s="357"/>
      <c r="AV1327" s="357"/>
      <c r="AW1327" s="357"/>
      <c r="AX1327" s="35"/>
    </row>
    <row r="1328" spans="1:50" ht="12.75" x14ac:dyDescent="0.2">
      <c r="A1328" s="30"/>
      <c r="B1328" s="30"/>
      <c r="C1328" s="363" t="s">
        <v>485</v>
      </c>
      <c r="D1328" s="335"/>
      <c r="E1328" s="335"/>
      <c r="F1328" s="335"/>
      <c r="G1328" s="335"/>
      <c r="H1328" s="335"/>
      <c r="I1328" s="335"/>
      <c r="J1328" s="335"/>
      <c r="K1328" s="335"/>
      <c r="L1328" s="335"/>
      <c r="M1328" s="362" t="s">
        <v>408</v>
      </c>
      <c r="N1328" s="362"/>
      <c r="O1328" s="362"/>
      <c r="P1328" s="362"/>
      <c r="Q1328" s="361" t="s">
        <v>422</v>
      </c>
      <c r="R1328" s="361"/>
      <c r="S1328" s="361"/>
      <c r="T1328" s="362" t="s">
        <v>458</v>
      </c>
      <c r="U1328" s="362"/>
      <c r="V1328" s="362"/>
      <c r="W1328" s="362"/>
      <c r="X1328" s="362"/>
      <c r="Y1328" s="362"/>
      <c r="Z1328" s="362"/>
      <c r="AA1328" s="362"/>
      <c r="AB1328" s="362"/>
      <c r="AC1328" s="350" t="s">
        <v>455</v>
      </c>
      <c r="AD1328" s="350"/>
      <c r="AE1328" s="350"/>
      <c r="AF1328" s="350"/>
      <c r="AG1328" s="350"/>
      <c r="AH1328" s="335" t="s">
        <v>427</v>
      </c>
      <c r="AI1328" s="335"/>
      <c r="AJ1328" s="335"/>
      <c r="AK1328" s="335"/>
      <c r="AL1328" s="335"/>
      <c r="AM1328" s="335"/>
      <c r="AN1328" s="357" t="s">
        <v>881</v>
      </c>
      <c r="AO1328" s="357"/>
      <c r="AP1328" s="357"/>
      <c r="AQ1328" s="357"/>
      <c r="AR1328" s="357"/>
      <c r="AS1328" s="357"/>
      <c r="AT1328" s="357"/>
      <c r="AU1328" s="357"/>
      <c r="AV1328" s="357"/>
      <c r="AW1328" s="357"/>
      <c r="AX1328" s="35"/>
    </row>
    <row r="1329" spans="1:50" ht="12.75" x14ac:dyDescent="0.2">
      <c r="A1329" s="30"/>
      <c r="B1329" s="30"/>
      <c r="C1329" s="363" t="s">
        <v>486</v>
      </c>
      <c r="D1329" s="335"/>
      <c r="E1329" s="335"/>
      <c r="F1329" s="335"/>
      <c r="G1329" s="335"/>
      <c r="H1329" s="335"/>
      <c r="I1329" s="335"/>
      <c r="J1329" s="335"/>
      <c r="K1329" s="335"/>
      <c r="L1329" s="335"/>
      <c r="M1329" s="362" t="s">
        <v>409</v>
      </c>
      <c r="N1329" s="362"/>
      <c r="O1329" s="362"/>
      <c r="P1329" s="362"/>
      <c r="Q1329" s="361" t="s">
        <v>422</v>
      </c>
      <c r="R1329" s="361"/>
      <c r="S1329" s="361"/>
      <c r="T1329" s="362" t="s">
        <v>459</v>
      </c>
      <c r="U1329" s="362"/>
      <c r="V1329" s="362"/>
      <c r="W1329" s="362"/>
      <c r="X1329" s="362"/>
      <c r="Y1329" s="362"/>
      <c r="Z1329" s="362"/>
      <c r="AA1329" s="362"/>
      <c r="AB1329" s="362"/>
      <c r="AC1329" s="350" t="s">
        <v>455</v>
      </c>
      <c r="AD1329" s="350"/>
      <c r="AE1329" s="350"/>
      <c r="AF1329" s="350"/>
      <c r="AG1329" s="350"/>
      <c r="AH1329" s="335" t="s">
        <v>428</v>
      </c>
      <c r="AI1329" s="335"/>
      <c r="AJ1329" s="335"/>
      <c r="AK1329" s="335"/>
      <c r="AL1329" s="335"/>
      <c r="AM1329" s="335"/>
      <c r="AN1329" s="357" t="s">
        <v>881</v>
      </c>
      <c r="AO1329" s="357"/>
      <c r="AP1329" s="357"/>
      <c r="AQ1329" s="357"/>
      <c r="AR1329" s="357"/>
      <c r="AS1329" s="357"/>
      <c r="AT1329" s="357"/>
      <c r="AU1329" s="357"/>
      <c r="AV1329" s="357"/>
      <c r="AW1329" s="357"/>
      <c r="AX1329" s="35"/>
    </row>
    <row r="1330" spans="1:50" ht="12.75" x14ac:dyDescent="0.2">
      <c r="A1330" s="30"/>
      <c r="B1330" s="30"/>
      <c r="C1330" s="363" t="s">
        <v>487</v>
      </c>
      <c r="D1330" s="335"/>
      <c r="E1330" s="335"/>
      <c r="F1330" s="335"/>
      <c r="G1330" s="335"/>
      <c r="H1330" s="335"/>
      <c r="I1330" s="335"/>
      <c r="J1330" s="335"/>
      <c r="K1330" s="335"/>
      <c r="L1330" s="335"/>
      <c r="M1330" s="362" t="s">
        <v>410</v>
      </c>
      <c r="N1330" s="362"/>
      <c r="O1330" s="362"/>
      <c r="P1330" s="362"/>
      <c r="Q1330" s="361" t="s">
        <v>422</v>
      </c>
      <c r="R1330" s="361"/>
      <c r="S1330" s="361"/>
      <c r="T1330" s="362" t="s">
        <v>460</v>
      </c>
      <c r="U1330" s="362"/>
      <c r="V1330" s="362"/>
      <c r="W1330" s="362"/>
      <c r="X1330" s="362"/>
      <c r="Y1330" s="362"/>
      <c r="Z1330" s="362"/>
      <c r="AA1330" s="362"/>
      <c r="AB1330" s="362"/>
      <c r="AC1330" s="350" t="s">
        <v>455</v>
      </c>
      <c r="AD1330" s="350"/>
      <c r="AE1330" s="350"/>
      <c r="AF1330" s="350"/>
      <c r="AG1330" s="350"/>
      <c r="AH1330" s="335" t="s">
        <v>428</v>
      </c>
      <c r="AI1330" s="335"/>
      <c r="AJ1330" s="335"/>
      <c r="AK1330" s="335"/>
      <c r="AL1330" s="335"/>
      <c r="AM1330" s="335"/>
      <c r="AN1330" s="357" t="s">
        <v>881</v>
      </c>
      <c r="AO1330" s="357"/>
      <c r="AP1330" s="357"/>
      <c r="AQ1330" s="357"/>
      <c r="AR1330" s="357"/>
      <c r="AS1330" s="357"/>
      <c r="AT1330" s="357"/>
      <c r="AU1330" s="357"/>
      <c r="AV1330" s="357"/>
      <c r="AW1330" s="357"/>
      <c r="AX1330" s="35"/>
    </row>
    <row r="1331" spans="1:50" ht="12.75" x14ac:dyDescent="0.2">
      <c r="A1331" s="30"/>
      <c r="B1331" s="30"/>
      <c r="C1331" s="363" t="s">
        <v>488</v>
      </c>
      <c r="D1331" s="335"/>
      <c r="E1331" s="335"/>
      <c r="F1331" s="335"/>
      <c r="G1331" s="335"/>
      <c r="H1331" s="335"/>
      <c r="I1331" s="335"/>
      <c r="J1331" s="335"/>
      <c r="K1331" s="335"/>
      <c r="L1331" s="335"/>
      <c r="M1331" s="362" t="s">
        <v>411</v>
      </c>
      <c r="N1331" s="362"/>
      <c r="O1331" s="362"/>
      <c r="P1331" s="362"/>
      <c r="Q1331" s="361" t="s">
        <v>422</v>
      </c>
      <c r="R1331" s="361"/>
      <c r="S1331" s="361"/>
      <c r="T1331" s="362" t="s">
        <v>461</v>
      </c>
      <c r="U1331" s="362"/>
      <c r="V1331" s="362"/>
      <c r="W1331" s="362"/>
      <c r="X1331" s="362"/>
      <c r="Y1331" s="362"/>
      <c r="Z1331" s="362"/>
      <c r="AA1331" s="362"/>
      <c r="AB1331" s="362"/>
      <c r="AC1331" s="350" t="s">
        <v>455</v>
      </c>
      <c r="AD1331" s="350"/>
      <c r="AE1331" s="350"/>
      <c r="AF1331" s="350"/>
      <c r="AG1331" s="350"/>
      <c r="AH1331" s="335" t="s">
        <v>429</v>
      </c>
      <c r="AI1331" s="335"/>
      <c r="AJ1331" s="335"/>
      <c r="AK1331" s="335"/>
      <c r="AL1331" s="335"/>
      <c r="AM1331" s="335"/>
      <c r="AN1331" s="357" t="s">
        <v>881</v>
      </c>
      <c r="AO1331" s="357"/>
      <c r="AP1331" s="357"/>
      <c r="AQ1331" s="357"/>
      <c r="AR1331" s="357"/>
      <c r="AS1331" s="357"/>
      <c r="AT1331" s="357"/>
      <c r="AU1331" s="357"/>
      <c r="AV1331" s="357"/>
      <c r="AW1331" s="357"/>
      <c r="AX1331" s="35"/>
    </row>
    <row r="1332" spans="1:50" ht="12.75" x14ac:dyDescent="0.2">
      <c r="A1332" s="30"/>
      <c r="B1332" s="30"/>
      <c r="C1332" s="363" t="s">
        <v>489</v>
      </c>
      <c r="D1332" s="335"/>
      <c r="E1332" s="335"/>
      <c r="F1332" s="335"/>
      <c r="G1332" s="335"/>
      <c r="H1332" s="335"/>
      <c r="I1332" s="335"/>
      <c r="J1332" s="335"/>
      <c r="K1332" s="335"/>
      <c r="L1332" s="335"/>
      <c r="M1332" s="362" t="s">
        <v>412</v>
      </c>
      <c r="N1332" s="362"/>
      <c r="O1332" s="362"/>
      <c r="P1332" s="362"/>
      <c r="Q1332" s="361" t="s">
        <v>422</v>
      </c>
      <c r="R1332" s="361"/>
      <c r="S1332" s="361"/>
      <c r="T1332" s="362" t="s">
        <v>462</v>
      </c>
      <c r="U1332" s="362"/>
      <c r="V1332" s="362"/>
      <c r="W1332" s="362"/>
      <c r="X1332" s="362"/>
      <c r="Y1332" s="362"/>
      <c r="Z1332" s="362"/>
      <c r="AA1332" s="362"/>
      <c r="AB1332" s="362"/>
      <c r="AC1332" s="350" t="s">
        <v>455</v>
      </c>
      <c r="AD1332" s="350"/>
      <c r="AE1332" s="350"/>
      <c r="AF1332" s="350"/>
      <c r="AG1332" s="350"/>
      <c r="AH1332" s="335" t="s">
        <v>429</v>
      </c>
      <c r="AI1332" s="335"/>
      <c r="AJ1332" s="335"/>
      <c r="AK1332" s="335"/>
      <c r="AL1332" s="335"/>
      <c r="AM1332" s="335"/>
      <c r="AN1332" s="357" t="s">
        <v>881</v>
      </c>
      <c r="AO1332" s="357"/>
      <c r="AP1332" s="357"/>
      <c r="AQ1332" s="357"/>
      <c r="AR1332" s="357"/>
      <c r="AS1332" s="357"/>
      <c r="AT1332" s="357"/>
      <c r="AU1332" s="357"/>
      <c r="AV1332" s="357"/>
      <c r="AW1332" s="357"/>
      <c r="AX1332" s="35"/>
    </row>
    <row r="1333" spans="1:50" ht="12.75" x14ac:dyDescent="0.2">
      <c r="A1333" s="30"/>
      <c r="B1333" s="30"/>
      <c r="C1333" s="372" t="s">
        <v>541</v>
      </c>
      <c r="D1333" s="373"/>
      <c r="E1333" s="373"/>
      <c r="F1333" s="373"/>
      <c r="G1333" s="373"/>
      <c r="H1333" s="373"/>
      <c r="I1333" s="373"/>
      <c r="J1333" s="373"/>
      <c r="K1333" s="373"/>
      <c r="L1333" s="373"/>
      <c r="M1333" s="373"/>
      <c r="N1333" s="373"/>
      <c r="O1333" s="373"/>
      <c r="P1333" s="373"/>
      <c r="Q1333" s="373"/>
      <c r="R1333" s="373"/>
      <c r="S1333" s="373"/>
      <c r="T1333" s="373"/>
      <c r="U1333" s="373"/>
      <c r="V1333" s="373"/>
      <c r="W1333" s="373"/>
      <c r="X1333" s="373"/>
      <c r="Y1333" s="373"/>
      <c r="Z1333" s="373"/>
      <c r="AA1333" s="373"/>
      <c r="AB1333" s="373"/>
      <c r="AC1333" s="373"/>
      <c r="AD1333" s="373"/>
      <c r="AE1333" s="373"/>
      <c r="AF1333" s="373"/>
      <c r="AG1333" s="373"/>
      <c r="AH1333" s="373"/>
      <c r="AI1333" s="373"/>
      <c r="AJ1333" s="373"/>
      <c r="AK1333" s="373"/>
      <c r="AL1333" s="373"/>
      <c r="AM1333" s="373"/>
      <c r="AN1333" s="373"/>
      <c r="AO1333" s="373"/>
      <c r="AP1333" s="373"/>
      <c r="AQ1333" s="373"/>
      <c r="AR1333" s="373"/>
      <c r="AS1333" s="374"/>
      <c r="AW1333" s="35"/>
      <c r="AX1333" s="35"/>
    </row>
    <row r="1334" spans="1:50" ht="12.75" x14ac:dyDescent="0.2">
      <c r="A1334" s="30"/>
      <c r="B1334" s="30"/>
      <c r="C1334" s="350" t="s">
        <v>80</v>
      </c>
      <c r="D1334" s="350"/>
      <c r="E1334" s="350"/>
      <c r="F1334" s="350"/>
      <c r="G1334" s="350"/>
      <c r="H1334" s="350"/>
      <c r="I1334" s="350"/>
      <c r="J1334" s="350"/>
      <c r="K1334" s="350"/>
      <c r="L1334" s="350"/>
      <c r="M1334" s="350" t="s">
        <v>545</v>
      </c>
      <c r="N1334" s="350"/>
      <c r="O1334" s="350"/>
      <c r="P1334" s="350"/>
      <c r="Q1334" s="350" t="s">
        <v>546</v>
      </c>
      <c r="R1334" s="350"/>
      <c r="S1334" s="350"/>
      <c r="T1334" s="350" t="s">
        <v>547</v>
      </c>
      <c r="U1334" s="350"/>
      <c r="V1334" s="350"/>
      <c r="W1334" s="350"/>
      <c r="X1334" s="350"/>
      <c r="Y1334" s="350"/>
      <c r="Z1334" s="350"/>
      <c r="AA1334" s="350"/>
      <c r="AB1334" s="350"/>
      <c r="AC1334" s="350" t="s">
        <v>548</v>
      </c>
      <c r="AD1334" s="350"/>
      <c r="AE1334" s="350"/>
      <c r="AF1334" s="350"/>
      <c r="AG1334" s="350"/>
      <c r="AH1334" s="350" t="s">
        <v>549</v>
      </c>
      <c r="AI1334" s="350"/>
      <c r="AJ1334" s="350"/>
      <c r="AK1334" s="484" t="s">
        <v>550</v>
      </c>
      <c r="AL1334" s="484"/>
      <c r="AM1334" s="484"/>
      <c r="AN1334" s="495" t="s">
        <v>945</v>
      </c>
      <c r="AO1334" s="496"/>
      <c r="AP1334" s="496"/>
      <c r="AQ1334" s="496"/>
      <c r="AR1334" s="496"/>
      <c r="AS1334" s="496"/>
      <c r="AT1334" s="497"/>
      <c r="AW1334" s="35"/>
      <c r="AX1334" s="35"/>
    </row>
    <row r="1335" spans="1:50" ht="12.75" x14ac:dyDescent="0.2">
      <c r="A1335" s="30"/>
      <c r="B1335" s="30"/>
      <c r="C1335" s="359" t="s">
        <v>490</v>
      </c>
      <c r="D1335" s="359"/>
      <c r="E1335" s="359"/>
      <c r="F1335" s="359"/>
      <c r="G1335" s="359"/>
      <c r="H1335" s="359"/>
      <c r="I1335" s="359"/>
      <c r="J1335" s="359"/>
      <c r="K1335" s="359"/>
      <c r="L1335" s="359"/>
      <c r="M1335" s="350" t="s">
        <v>408</v>
      </c>
      <c r="N1335" s="350"/>
      <c r="O1335" s="350"/>
      <c r="P1335" s="350"/>
      <c r="Q1335" s="360" t="s">
        <v>421</v>
      </c>
      <c r="R1335" s="360"/>
      <c r="S1335" s="360"/>
      <c r="T1335" s="350" t="s">
        <v>458</v>
      </c>
      <c r="U1335" s="350"/>
      <c r="V1335" s="350"/>
      <c r="W1335" s="350"/>
      <c r="X1335" s="350"/>
      <c r="Y1335" s="350"/>
      <c r="Z1335" s="350"/>
      <c r="AA1335" s="350"/>
      <c r="AB1335" s="350"/>
      <c r="AC1335" s="350" t="s">
        <v>455</v>
      </c>
      <c r="AD1335" s="350"/>
      <c r="AE1335" s="350"/>
      <c r="AF1335" s="350"/>
      <c r="AG1335" s="350"/>
      <c r="AH1335" s="350" t="s">
        <v>427</v>
      </c>
      <c r="AI1335" s="350"/>
      <c r="AJ1335" s="350"/>
      <c r="AK1335" s="484" t="s">
        <v>439</v>
      </c>
      <c r="AL1335" s="484"/>
      <c r="AM1335" s="484"/>
      <c r="AN1335" s="352" t="s">
        <v>881</v>
      </c>
      <c r="AO1335" s="353"/>
      <c r="AP1335" s="353"/>
      <c r="AQ1335" s="353"/>
      <c r="AR1335" s="353"/>
      <c r="AS1335" s="354"/>
      <c r="AW1335" s="35"/>
      <c r="AX1335" s="35"/>
    </row>
    <row r="1336" spans="1:50" ht="12.75" x14ac:dyDescent="0.2">
      <c r="A1336" s="30"/>
      <c r="B1336" s="30"/>
      <c r="C1336" s="359" t="s">
        <v>491</v>
      </c>
      <c r="D1336" s="359"/>
      <c r="E1336" s="359"/>
      <c r="F1336" s="359"/>
      <c r="G1336" s="359"/>
      <c r="H1336" s="359"/>
      <c r="I1336" s="359"/>
      <c r="J1336" s="359"/>
      <c r="K1336" s="359"/>
      <c r="L1336" s="359"/>
      <c r="M1336" s="350" t="s">
        <v>409</v>
      </c>
      <c r="N1336" s="350"/>
      <c r="O1336" s="350"/>
      <c r="P1336" s="350"/>
      <c r="Q1336" s="360" t="s">
        <v>421</v>
      </c>
      <c r="R1336" s="360"/>
      <c r="S1336" s="360"/>
      <c r="T1336" s="350" t="s">
        <v>459</v>
      </c>
      <c r="U1336" s="350"/>
      <c r="V1336" s="350"/>
      <c r="W1336" s="350"/>
      <c r="X1336" s="350"/>
      <c r="Y1336" s="350"/>
      <c r="Z1336" s="350"/>
      <c r="AA1336" s="350"/>
      <c r="AB1336" s="350"/>
      <c r="AC1336" s="350" t="s">
        <v>455</v>
      </c>
      <c r="AD1336" s="350"/>
      <c r="AE1336" s="350"/>
      <c r="AF1336" s="350"/>
      <c r="AG1336" s="350"/>
      <c r="AH1336" s="350" t="s">
        <v>428</v>
      </c>
      <c r="AI1336" s="350"/>
      <c r="AJ1336" s="350"/>
      <c r="AK1336" s="484" t="s">
        <v>440</v>
      </c>
      <c r="AL1336" s="484"/>
      <c r="AM1336" s="484"/>
      <c r="AN1336" s="352" t="s">
        <v>881</v>
      </c>
      <c r="AO1336" s="353"/>
      <c r="AP1336" s="353"/>
      <c r="AQ1336" s="353"/>
      <c r="AR1336" s="353"/>
      <c r="AS1336" s="354"/>
      <c r="AW1336" s="35"/>
      <c r="AX1336" s="35"/>
    </row>
    <row r="1337" spans="1:50" ht="12.75" x14ac:dyDescent="0.2">
      <c r="A1337" s="30"/>
      <c r="B1337" s="30"/>
      <c r="C1337" s="359" t="s">
        <v>492</v>
      </c>
      <c r="D1337" s="359"/>
      <c r="E1337" s="359"/>
      <c r="F1337" s="359"/>
      <c r="G1337" s="359"/>
      <c r="H1337" s="359"/>
      <c r="I1337" s="359"/>
      <c r="J1337" s="359"/>
      <c r="K1337" s="359"/>
      <c r="L1337" s="359"/>
      <c r="M1337" s="350" t="s">
        <v>410</v>
      </c>
      <c r="N1337" s="350"/>
      <c r="O1337" s="350"/>
      <c r="P1337" s="350"/>
      <c r="Q1337" s="360" t="s">
        <v>421</v>
      </c>
      <c r="R1337" s="360"/>
      <c r="S1337" s="360"/>
      <c r="T1337" s="350" t="s">
        <v>460</v>
      </c>
      <c r="U1337" s="350"/>
      <c r="V1337" s="350"/>
      <c r="W1337" s="350"/>
      <c r="X1337" s="350"/>
      <c r="Y1337" s="350"/>
      <c r="Z1337" s="350"/>
      <c r="AA1337" s="350"/>
      <c r="AB1337" s="350"/>
      <c r="AC1337" s="350" t="s">
        <v>455</v>
      </c>
      <c r="AD1337" s="350"/>
      <c r="AE1337" s="350"/>
      <c r="AF1337" s="350"/>
      <c r="AG1337" s="350"/>
      <c r="AH1337" s="350" t="s">
        <v>428</v>
      </c>
      <c r="AI1337" s="350"/>
      <c r="AJ1337" s="350"/>
      <c r="AK1337" s="484" t="s">
        <v>440</v>
      </c>
      <c r="AL1337" s="484"/>
      <c r="AM1337" s="484"/>
      <c r="AN1337" s="352" t="s">
        <v>881</v>
      </c>
      <c r="AO1337" s="353"/>
      <c r="AP1337" s="353"/>
      <c r="AQ1337" s="353"/>
      <c r="AR1337" s="353"/>
      <c r="AS1337" s="354"/>
      <c r="AW1337" s="35"/>
      <c r="AX1337" s="35"/>
    </row>
    <row r="1338" spans="1:50" ht="12.75" x14ac:dyDescent="0.2">
      <c r="A1338" s="30"/>
      <c r="B1338" s="30"/>
      <c r="C1338" s="359" t="s">
        <v>493</v>
      </c>
      <c r="D1338" s="359"/>
      <c r="E1338" s="359"/>
      <c r="F1338" s="359"/>
      <c r="G1338" s="359"/>
      <c r="H1338" s="359"/>
      <c r="I1338" s="359"/>
      <c r="J1338" s="359"/>
      <c r="K1338" s="359"/>
      <c r="L1338" s="359"/>
      <c r="M1338" s="350" t="s">
        <v>411</v>
      </c>
      <c r="N1338" s="350"/>
      <c r="O1338" s="350"/>
      <c r="P1338" s="350"/>
      <c r="Q1338" s="360" t="s">
        <v>421</v>
      </c>
      <c r="R1338" s="360"/>
      <c r="S1338" s="360"/>
      <c r="T1338" s="350" t="s">
        <v>461</v>
      </c>
      <c r="U1338" s="350"/>
      <c r="V1338" s="350"/>
      <c r="W1338" s="350"/>
      <c r="X1338" s="350"/>
      <c r="Y1338" s="350"/>
      <c r="Z1338" s="350"/>
      <c r="AA1338" s="350"/>
      <c r="AB1338" s="350"/>
      <c r="AC1338" s="350" t="s">
        <v>455</v>
      </c>
      <c r="AD1338" s="350"/>
      <c r="AE1338" s="350"/>
      <c r="AF1338" s="350"/>
      <c r="AG1338" s="350"/>
      <c r="AH1338" s="350" t="s">
        <v>429</v>
      </c>
      <c r="AI1338" s="350"/>
      <c r="AJ1338" s="350"/>
      <c r="AK1338" s="484" t="s">
        <v>441</v>
      </c>
      <c r="AL1338" s="484"/>
      <c r="AM1338" s="484"/>
      <c r="AN1338" s="352" t="s">
        <v>881</v>
      </c>
      <c r="AO1338" s="353"/>
      <c r="AP1338" s="353"/>
      <c r="AQ1338" s="353"/>
      <c r="AR1338" s="353"/>
      <c r="AS1338" s="354"/>
      <c r="AW1338" s="35"/>
      <c r="AX1338" s="35"/>
    </row>
    <row r="1339" spans="1:50" ht="12.75" x14ac:dyDescent="0.2">
      <c r="A1339" s="30"/>
      <c r="B1339" s="30"/>
      <c r="C1339" s="359" t="s">
        <v>494</v>
      </c>
      <c r="D1339" s="359"/>
      <c r="E1339" s="359"/>
      <c r="F1339" s="359"/>
      <c r="G1339" s="359"/>
      <c r="H1339" s="359"/>
      <c r="I1339" s="359"/>
      <c r="J1339" s="359"/>
      <c r="K1339" s="359"/>
      <c r="L1339" s="359"/>
      <c r="M1339" s="350" t="s">
        <v>412</v>
      </c>
      <c r="N1339" s="350"/>
      <c r="O1339" s="350"/>
      <c r="P1339" s="350"/>
      <c r="Q1339" s="360" t="s">
        <v>421</v>
      </c>
      <c r="R1339" s="360"/>
      <c r="S1339" s="360"/>
      <c r="T1339" s="350" t="s">
        <v>462</v>
      </c>
      <c r="U1339" s="350"/>
      <c r="V1339" s="350"/>
      <c r="W1339" s="350"/>
      <c r="X1339" s="350"/>
      <c r="Y1339" s="350"/>
      <c r="Z1339" s="350"/>
      <c r="AA1339" s="350"/>
      <c r="AB1339" s="350"/>
      <c r="AC1339" s="350" t="s">
        <v>455</v>
      </c>
      <c r="AD1339" s="350"/>
      <c r="AE1339" s="350"/>
      <c r="AF1339" s="350"/>
      <c r="AG1339" s="350"/>
      <c r="AH1339" s="350" t="s">
        <v>429</v>
      </c>
      <c r="AI1339" s="350"/>
      <c r="AJ1339" s="350"/>
      <c r="AK1339" s="484"/>
      <c r="AL1339" s="484"/>
      <c r="AM1339" s="484"/>
      <c r="AN1339" s="352" t="s">
        <v>881</v>
      </c>
      <c r="AO1339" s="353"/>
      <c r="AP1339" s="353"/>
      <c r="AQ1339" s="353"/>
      <c r="AR1339" s="353"/>
      <c r="AS1339" s="354"/>
      <c r="AW1339" s="35"/>
      <c r="AX1339" s="35"/>
    </row>
    <row r="1340" spans="1:50" ht="12.75" x14ac:dyDescent="0.2">
      <c r="A1340" s="30"/>
      <c r="B1340" s="30"/>
      <c r="C1340" s="359" t="s">
        <v>495</v>
      </c>
      <c r="D1340" s="359"/>
      <c r="E1340" s="359"/>
      <c r="F1340" s="359"/>
      <c r="G1340" s="359"/>
      <c r="H1340" s="359"/>
      <c r="I1340" s="359"/>
      <c r="J1340" s="359"/>
      <c r="K1340" s="359"/>
      <c r="L1340" s="359"/>
      <c r="M1340" s="350" t="s">
        <v>408</v>
      </c>
      <c r="N1340" s="350"/>
      <c r="O1340" s="350"/>
      <c r="P1340" s="350"/>
      <c r="Q1340" s="361" t="s">
        <v>422</v>
      </c>
      <c r="R1340" s="361"/>
      <c r="S1340" s="361"/>
      <c r="T1340" s="350" t="s">
        <v>458</v>
      </c>
      <c r="U1340" s="350"/>
      <c r="V1340" s="350"/>
      <c r="W1340" s="350"/>
      <c r="X1340" s="350"/>
      <c r="Y1340" s="350"/>
      <c r="Z1340" s="350"/>
      <c r="AA1340" s="350"/>
      <c r="AB1340" s="350"/>
      <c r="AC1340" s="350" t="s">
        <v>455</v>
      </c>
      <c r="AD1340" s="350"/>
      <c r="AE1340" s="350"/>
      <c r="AF1340" s="350"/>
      <c r="AG1340" s="350"/>
      <c r="AH1340" s="350" t="s">
        <v>427</v>
      </c>
      <c r="AI1340" s="350"/>
      <c r="AJ1340" s="350"/>
      <c r="AK1340" s="484" t="s">
        <v>439</v>
      </c>
      <c r="AL1340" s="484"/>
      <c r="AM1340" s="484"/>
      <c r="AN1340" s="352" t="s">
        <v>881</v>
      </c>
      <c r="AO1340" s="353"/>
      <c r="AP1340" s="353"/>
      <c r="AQ1340" s="353"/>
      <c r="AR1340" s="353"/>
      <c r="AS1340" s="354"/>
      <c r="AW1340" s="35"/>
      <c r="AX1340" s="35"/>
    </row>
    <row r="1341" spans="1:50" ht="12.75" x14ac:dyDescent="0.2">
      <c r="A1341" s="30"/>
      <c r="B1341" s="30"/>
      <c r="C1341" s="359" t="s">
        <v>496</v>
      </c>
      <c r="D1341" s="359"/>
      <c r="E1341" s="359"/>
      <c r="F1341" s="359"/>
      <c r="G1341" s="359"/>
      <c r="H1341" s="359"/>
      <c r="I1341" s="359"/>
      <c r="J1341" s="359"/>
      <c r="K1341" s="359"/>
      <c r="L1341" s="359"/>
      <c r="M1341" s="350" t="s">
        <v>409</v>
      </c>
      <c r="N1341" s="350"/>
      <c r="O1341" s="350"/>
      <c r="P1341" s="350"/>
      <c r="Q1341" s="361" t="s">
        <v>422</v>
      </c>
      <c r="R1341" s="361"/>
      <c r="S1341" s="361"/>
      <c r="T1341" s="350" t="s">
        <v>459</v>
      </c>
      <c r="U1341" s="350"/>
      <c r="V1341" s="350"/>
      <c r="W1341" s="350"/>
      <c r="X1341" s="350"/>
      <c r="Y1341" s="350"/>
      <c r="Z1341" s="350"/>
      <c r="AA1341" s="350"/>
      <c r="AB1341" s="350"/>
      <c r="AC1341" s="350" t="s">
        <v>455</v>
      </c>
      <c r="AD1341" s="350"/>
      <c r="AE1341" s="350"/>
      <c r="AF1341" s="350"/>
      <c r="AG1341" s="350"/>
      <c r="AH1341" s="350" t="s">
        <v>428</v>
      </c>
      <c r="AI1341" s="350"/>
      <c r="AJ1341" s="350"/>
      <c r="AK1341" s="484" t="s">
        <v>440</v>
      </c>
      <c r="AL1341" s="484"/>
      <c r="AM1341" s="484"/>
      <c r="AN1341" s="352" t="s">
        <v>881</v>
      </c>
      <c r="AO1341" s="353"/>
      <c r="AP1341" s="353"/>
      <c r="AQ1341" s="353"/>
      <c r="AR1341" s="353"/>
      <c r="AS1341" s="354"/>
      <c r="AW1341" s="35"/>
      <c r="AX1341" s="35"/>
    </row>
    <row r="1342" spans="1:50" ht="12.75" x14ac:dyDescent="0.2">
      <c r="A1342" s="30"/>
      <c r="B1342" s="30"/>
      <c r="C1342" s="359" t="s">
        <v>497</v>
      </c>
      <c r="D1342" s="359"/>
      <c r="E1342" s="359"/>
      <c r="F1342" s="359"/>
      <c r="G1342" s="359"/>
      <c r="H1342" s="359"/>
      <c r="I1342" s="359"/>
      <c r="J1342" s="359"/>
      <c r="K1342" s="359"/>
      <c r="L1342" s="359"/>
      <c r="M1342" s="350" t="s">
        <v>410</v>
      </c>
      <c r="N1342" s="350"/>
      <c r="O1342" s="350"/>
      <c r="P1342" s="350"/>
      <c r="Q1342" s="361" t="s">
        <v>422</v>
      </c>
      <c r="R1342" s="361"/>
      <c r="S1342" s="361"/>
      <c r="T1342" s="350" t="s">
        <v>460</v>
      </c>
      <c r="U1342" s="350"/>
      <c r="V1342" s="350"/>
      <c r="W1342" s="350"/>
      <c r="X1342" s="350"/>
      <c r="Y1342" s="350"/>
      <c r="Z1342" s="350"/>
      <c r="AA1342" s="350"/>
      <c r="AB1342" s="350"/>
      <c r="AC1342" s="350" t="s">
        <v>455</v>
      </c>
      <c r="AD1342" s="350"/>
      <c r="AE1342" s="350"/>
      <c r="AF1342" s="350"/>
      <c r="AG1342" s="350"/>
      <c r="AH1342" s="350" t="s">
        <v>428</v>
      </c>
      <c r="AI1342" s="350"/>
      <c r="AJ1342" s="350"/>
      <c r="AK1342" s="484" t="s">
        <v>440</v>
      </c>
      <c r="AL1342" s="484"/>
      <c r="AM1342" s="484"/>
      <c r="AN1342" s="352" t="s">
        <v>881</v>
      </c>
      <c r="AO1342" s="353"/>
      <c r="AP1342" s="353"/>
      <c r="AQ1342" s="353"/>
      <c r="AR1342" s="353"/>
      <c r="AS1342" s="354"/>
      <c r="AW1342" s="35"/>
      <c r="AX1342" s="35"/>
    </row>
    <row r="1343" spans="1:50" ht="12.75" x14ac:dyDescent="0.2">
      <c r="A1343" s="30"/>
      <c r="B1343" s="30"/>
      <c r="C1343" s="489" t="s">
        <v>498</v>
      </c>
      <c r="D1343" s="489"/>
      <c r="E1343" s="489"/>
      <c r="F1343" s="489"/>
      <c r="G1343" s="489"/>
      <c r="H1343" s="489"/>
      <c r="I1343" s="489"/>
      <c r="J1343" s="489"/>
      <c r="K1343" s="489"/>
      <c r="L1343" s="489"/>
      <c r="M1343" s="355" t="s">
        <v>411</v>
      </c>
      <c r="N1343" s="355"/>
      <c r="O1343" s="355"/>
      <c r="P1343" s="355"/>
      <c r="Q1343" s="490" t="s">
        <v>422</v>
      </c>
      <c r="R1343" s="490"/>
      <c r="S1343" s="490"/>
      <c r="T1343" s="355" t="s">
        <v>461</v>
      </c>
      <c r="U1343" s="355"/>
      <c r="V1343" s="355"/>
      <c r="W1343" s="355"/>
      <c r="X1343" s="355"/>
      <c r="Y1343" s="355"/>
      <c r="Z1343" s="355"/>
      <c r="AA1343" s="355"/>
      <c r="AB1343" s="355"/>
      <c r="AC1343" s="355" t="s">
        <v>455</v>
      </c>
      <c r="AD1343" s="355"/>
      <c r="AE1343" s="355"/>
      <c r="AF1343" s="355"/>
      <c r="AG1343" s="355"/>
      <c r="AH1343" s="355" t="s">
        <v>429</v>
      </c>
      <c r="AI1343" s="355"/>
      <c r="AJ1343" s="355"/>
      <c r="AK1343" s="491" t="s">
        <v>441</v>
      </c>
      <c r="AL1343" s="491"/>
      <c r="AM1343" s="491"/>
      <c r="AN1343" s="352" t="s">
        <v>881</v>
      </c>
      <c r="AO1343" s="353"/>
      <c r="AP1343" s="353"/>
      <c r="AQ1343" s="353"/>
      <c r="AR1343" s="353"/>
      <c r="AS1343" s="354"/>
      <c r="AW1343" s="35"/>
      <c r="AX1343" s="35"/>
    </row>
    <row r="1344" spans="1:50" ht="12.75" x14ac:dyDescent="0.2">
      <c r="A1344" s="30"/>
      <c r="B1344" s="30"/>
      <c r="C1344" s="434" t="s">
        <v>499</v>
      </c>
      <c r="D1344" s="434"/>
      <c r="E1344" s="434"/>
      <c r="F1344" s="434"/>
      <c r="G1344" s="434"/>
      <c r="H1344" s="434"/>
      <c r="I1344" s="434"/>
      <c r="J1344" s="434"/>
      <c r="K1344" s="434"/>
      <c r="L1344" s="434"/>
      <c r="M1344" s="356" t="s">
        <v>412</v>
      </c>
      <c r="N1344" s="356"/>
      <c r="O1344" s="356"/>
      <c r="P1344" s="356"/>
      <c r="Q1344" s="478" t="s">
        <v>422</v>
      </c>
      <c r="R1344" s="478"/>
      <c r="S1344" s="478"/>
      <c r="T1344" s="356" t="s">
        <v>462</v>
      </c>
      <c r="U1344" s="356"/>
      <c r="V1344" s="356"/>
      <c r="W1344" s="356"/>
      <c r="X1344" s="356"/>
      <c r="Y1344" s="356"/>
      <c r="Z1344" s="356"/>
      <c r="AA1344" s="356"/>
      <c r="AB1344" s="356"/>
      <c r="AC1344" s="356" t="s">
        <v>455</v>
      </c>
      <c r="AD1344" s="356"/>
      <c r="AE1344" s="356"/>
      <c r="AF1344" s="356"/>
      <c r="AG1344" s="356"/>
      <c r="AH1344" s="356" t="s">
        <v>429</v>
      </c>
      <c r="AI1344" s="356"/>
      <c r="AJ1344" s="356"/>
      <c r="AK1344" s="479"/>
      <c r="AL1344" s="479"/>
      <c r="AM1344" s="479"/>
      <c r="AN1344" s="352" t="s">
        <v>881</v>
      </c>
      <c r="AO1344" s="353"/>
      <c r="AP1344" s="353"/>
      <c r="AQ1344" s="353"/>
      <c r="AR1344" s="353"/>
      <c r="AS1344" s="354"/>
      <c r="AW1344" s="35"/>
      <c r="AX1344" s="35"/>
    </row>
    <row r="1345" spans="1:50" ht="12.75" x14ac:dyDescent="0.2">
      <c r="A1345" s="30"/>
      <c r="B1345" s="30"/>
      <c r="C1345" s="358" t="s">
        <v>890</v>
      </c>
      <c r="D1345" s="358"/>
      <c r="E1345" s="358"/>
      <c r="F1345" s="358"/>
      <c r="G1345" s="358"/>
      <c r="H1345" s="358"/>
      <c r="I1345" s="358"/>
      <c r="J1345" s="358"/>
      <c r="K1345" s="358"/>
      <c r="L1345" s="358"/>
      <c r="M1345" s="358"/>
      <c r="N1345" s="358"/>
      <c r="O1345" s="358"/>
      <c r="P1345" s="358"/>
      <c r="Q1345" s="358"/>
      <c r="R1345" s="358"/>
      <c r="S1345" s="358"/>
      <c r="T1345" s="358"/>
      <c r="U1345" s="358"/>
      <c r="V1345" s="358"/>
      <c r="W1345" s="358"/>
      <c r="X1345" s="358"/>
      <c r="Y1345" s="358"/>
      <c r="Z1345" s="358"/>
      <c r="AA1345" s="358"/>
      <c r="AB1345" s="358"/>
      <c r="AC1345" s="358"/>
      <c r="AD1345" s="358"/>
      <c r="AE1345" s="358"/>
      <c r="AF1345" s="358"/>
      <c r="AG1345" s="358"/>
      <c r="AH1345" s="358"/>
      <c r="AI1345" s="358"/>
      <c r="AJ1345" s="358"/>
      <c r="AK1345" s="358"/>
      <c r="AL1345" s="358"/>
      <c r="AM1345" s="358"/>
      <c r="AN1345" s="358"/>
      <c r="AO1345" s="358"/>
      <c r="AP1345" s="358"/>
      <c r="AQ1345" s="358"/>
      <c r="AR1345" s="358"/>
      <c r="AS1345" s="358"/>
      <c r="AW1345" s="35"/>
      <c r="AX1345" s="35"/>
    </row>
    <row r="1346" spans="1:50" ht="12.75" x14ac:dyDescent="0.2">
      <c r="A1346" s="30"/>
      <c r="B1346" s="30"/>
      <c r="C1346" s="359" t="s">
        <v>490</v>
      </c>
      <c r="D1346" s="359"/>
      <c r="E1346" s="359"/>
      <c r="F1346" s="359"/>
      <c r="G1346" s="359"/>
      <c r="H1346" s="359"/>
      <c r="I1346" s="359"/>
      <c r="J1346" s="359"/>
      <c r="K1346" s="359"/>
      <c r="L1346" s="359"/>
      <c r="M1346" s="350" t="s">
        <v>408</v>
      </c>
      <c r="N1346" s="350"/>
      <c r="O1346" s="350"/>
      <c r="P1346" s="350"/>
      <c r="Q1346" s="360" t="s">
        <v>421</v>
      </c>
      <c r="R1346" s="360"/>
      <c r="S1346" s="360"/>
      <c r="T1346" s="350" t="s">
        <v>458</v>
      </c>
      <c r="U1346" s="350"/>
      <c r="V1346" s="350"/>
      <c r="W1346" s="350"/>
      <c r="X1346" s="350"/>
      <c r="Y1346" s="350"/>
      <c r="Z1346" s="350"/>
      <c r="AA1346" s="350"/>
      <c r="AB1346" s="350"/>
      <c r="AC1346" s="350" t="s">
        <v>455</v>
      </c>
      <c r="AD1346" s="350"/>
      <c r="AE1346" s="350"/>
      <c r="AF1346" s="350"/>
      <c r="AG1346" s="350"/>
      <c r="AH1346" s="350" t="s">
        <v>427</v>
      </c>
      <c r="AI1346" s="350"/>
      <c r="AJ1346" s="350"/>
      <c r="AK1346" s="351"/>
      <c r="AL1346" s="351"/>
      <c r="AM1346" s="351"/>
      <c r="AN1346" s="352" t="s">
        <v>881</v>
      </c>
      <c r="AO1346" s="353"/>
      <c r="AP1346" s="353"/>
      <c r="AQ1346" s="353"/>
      <c r="AR1346" s="353"/>
      <c r="AS1346" s="354"/>
      <c r="AW1346" s="35"/>
      <c r="AX1346" s="35"/>
    </row>
    <row r="1347" spans="1:50" ht="12.75" x14ac:dyDescent="0.2">
      <c r="A1347" s="30"/>
      <c r="B1347" s="30"/>
      <c r="C1347" s="359" t="s">
        <v>491</v>
      </c>
      <c r="D1347" s="359"/>
      <c r="E1347" s="359"/>
      <c r="F1347" s="359"/>
      <c r="G1347" s="359"/>
      <c r="H1347" s="359"/>
      <c r="I1347" s="359"/>
      <c r="J1347" s="359"/>
      <c r="K1347" s="359"/>
      <c r="L1347" s="359"/>
      <c r="M1347" s="350" t="s">
        <v>409</v>
      </c>
      <c r="N1347" s="350"/>
      <c r="O1347" s="350"/>
      <c r="P1347" s="350"/>
      <c r="Q1347" s="360" t="s">
        <v>421</v>
      </c>
      <c r="R1347" s="360"/>
      <c r="S1347" s="360"/>
      <c r="T1347" s="350" t="s">
        <v>459</v>
      </c>
      <c r="U1347" s="350"/>
      <c r="V1347" s="350"/>
      <c r="W1347" s="350"/>
      <c r="X1347" s="350"/>
      <c r="Y1347" s="350"/>
      <c r="Z1347" s="350"/>
      <c r="AA1347" s="350"/>
      <c r="AB1347" s="350"/>
      <c r="AC1347" s="350" t="s">
        <v>455</v>
      </c>
      <c r="AD1347" s="350"/>
      <c r="AE1347" s="350"/>
      <c r="AF1347" s="350"/>
      <c r="AG1347" s="350"/>
      <c r="AH1347" s="350" t="s">
        <v>428</v>
      </c>
      <c r="AI1347" s="350"/>
      <c r="AJ1347" s="350"/>
      <c r="AK1347" s="351"/>
      <c r="AL1347" s="351"/>
      <c r="AM1347" s="351"/>
      <c r="AN1347" s="352" t="s">
        <v>881</v>
      </c>
      <c r="AO1347" s="353"/>
      <c r="AP1347" s="353"/>
      <c r="AQ1347" s="353"/>
      <c r="AR1347" s="353"/>
      <c r="AS1347" s="354"/>
      <c r="AW1347" s="35"/>
      <c r="AX1347" s="35"/>
    </row>
    <row r="1348" spans="1:50" ht="12.75" x14ac:dyDescent="0.2">
      <c r="A1348" s="30"/>
      <c r="B1348" s="30"/>
      <c r="C1348" s="359" t="s">
        <v>492</v>
      </c>
      <c r="D1348" s="359"/>
      <c r="E1348" s="359"/>
      <c r="F1348" s="359"/>
      <c r="G1348" s="359"/>
      <c r="H1348" s="359"/>
      <c r="I1348" s="359"/>
      <c r="J1348" s="359"/>
      <c r="K1348" s="359"/>
      <c r="L1348" s="359"/>
      <c r="M1348" s="350" t="s">
        <v>410</v>
      </c>
      <c r="N1348" s="350"/>
      <c r="O1348" s="350"/>
      <c r="P1348" s="350"/>
      <c r="Q1348" s="360" t="s">
        <v>421</v>
      </c>
      <c r="R1348" s="360"/>
      <c r="S1348" s="360"/>
      <c r="T1348" s="350" t="s">
        <v>460</v>
      </c>
      <c r="U1348" s="350"/>
      <c r="V1348" s="350"/>
      <c r="W1348" s="350"/>
      <c r="X1348" s="350"/>
      <c r="Y1348" s="350"/>
      <c r="Z1348" s="350"/>
      <c r="AA1348" s="350"/>
      <c r="AB1348" s="350"/>
      <c r="AC1348" s="350" t="s">
        <v>455</v>
      </c>
      <c r="AD1348" s="350"/>
      <c r="AE1348" s="350"/>
      <c r="AF1348" s="350"/>
      <c r="AG1348" s="350"/>
      <c r="AH1348" s="350" t="s">
        <v>428</v>
      </c>
      <c r="AI1348" s="350"/>
      <c r="AJ1348" s="350"/>
      <c r="AK1348" s="351"/>
      <c r="AL1348" s="351"/>
      <c r="AM1348" s="351"/>
      <c r="AN1348" s="352" t="s">
        <v>881</v>
      </c>
      <c r="AO1348" s="353"/>
      <c r="AP1348" s="353"/>
      <c r="AQ1348" s="353"/>
      <c r="AR1348" s="353"/>
      <c r="AS1348" s="354"/>
      <c r="AW1348" s="35"/>
      <c r="AX1348" s="35"/>
    </row>
    <row r="1349" spans="1:50" ht="12.75" x14ac:dyDescent="0.2">
      <c r="A1349" s="30"/>
      <c r="B1349" s="30"/>
      <c r="C1349" s="359" t="s">
        <v>493</v>
      </c>
      <c r="D1349" s="359"/>
      <c r="E1349" s="359"/>
      <c r="F1349" s="359"/>
      <c r="G1349" s="359"/>
      <c r="H1349" s="359"/>
      <c r="I1349" s="359"/>
      <c r="J1349" s="359"/>
      <c r="K1349" s="359"/>
      <c r="L1349" s="359"/>
      <c r="M1349" s="350" t="s">
        <v>411</v>
      </c>
      <c r="N1349" s="350"/>
      <c r="O1349" s="350"/>
      <c r="P1349" s="350"/>
      <c r="Q1349" s="360" t="s">
        <v>421</v>
      </c>
      <c r="R1349" s="360"/>
      <c r="S1349" s="360"/>
      <c r="T1349" s="350" t="s">
        <v>461</v>
      </c>
      <c r="U1349" s="350"/>
      <c r="V1349" s="350"/>
      <c r="W1349" s="350"/>
      <c r="X1349" s="350"/>
      <c r="Y1349" s="350"/>
      <c r="Z1349" s="350"/>
      <c r="AA1349" s="350"/>
      <c r="AB1349" s="350"/>
      <c r="AC1349" s="350" t="s">
        <v>455</v>
      </c>
      <c r="AD1349" s="350"/>
      <c r="AE1349" s="350"/>
      <c r="AF1349" s="350"/>
      <c r="AG1349" s="350"/>
      <c r="AH1349" s="350" t="s">
        <v>429</v>
      </c>
      <c r="AI1349" s="350"/>
      <c r="AJ1349" s="350"/>
      <c r="AK1349" s="351"/>
      <c r="AL1349" s="351"/>
      <c r="AM1349" s="351"/>
      <c r="AN1349" s="352" t="s">
        <v>881</v>
      </c>
      <c r="AO1349" s="353"/>
      <c r="AP1349" s="353"/>
      <c r="AQ1349" s="353"/>
      <c r="AR1349" s="353"/>
      <c r="AS1349" s="354"/>
      <c r="AW1349" s="35"/>
      <c r="AX1349" s="35"/>
    </row>
    <row r="1350" spans="1:50" ht="12.75" x14ac:dyDescent="0.2">
      <c r="A1350" s="30"/>
      <c r="B1350" s="30"/>
      <c r="C1350" s="359" t="s">
        <v>494</v>
      </c>
      <c r="D1350" s="359"/>
      <c r="E1350" s="359"/>
      <c r="F1350" s="359"/>
      <c r="G1350" s="359"/>
      <c r="H1350" s="359"/>
      <c r="I1350" s="359"/>
      <c r="J1350" s="359"/>
      <c r="K1350" s="359"/>
      <c r="L1350" s="359"/>
      <c r="M1350" s="350" t="s">
        <v>412</v>
      </c>
      <c r="N1350" s="350"/>
      <c r="O1350" s="350"/>
      <c r="P1350" s="350"/>
      <c r="Q1350" s="360" t="s">
        <v>421</v>
      </c>
      <c r="R1350" s="360"/>
      <c r="S1350" s="360"/>
      <c r="T1350" s="350" t="s">
        <v>462</v>
      </c>
      <c r="U1350" s="350"/>
      <c r="V1350" s="350"/>
      <c r="W1350" s="350"/>
      <c r="X1350" s="350"/>
      <c r="Y1350" s="350"/>
      <c r="Z1350" s="350"/>
      <c r="AA1350" s="350"/>
      <c r="AB1350" s="350"/>
      <c r="AC1350" s="350" t="s">
        <v>455</v>
      </c>
      <c r="AD1350" s="350"/>
      <c r="AE1350" s="350"/>
      <c r="AF1350" s="350"/>
      <c r="AG1350" s="350"/>
      <c r="AH1350" s="350" t="s">
        <v>429</v>
      </c>
      <c r="AI1350" s="350"/>
      <c r="AJ1350" s="350"/>
      <c r="AK1350" s="351"/>
      <c r="AL1350" s="351"/>
      <c r="AM1350" s="351"/>
      <c r="AN1350" s="352" t="s">
        <v>881</v>
      </c>
      <c r="AO1350" s="353"/>
      <c r="AP1350" s="353"/>
      <c r="AQ1350" s="353"/>
      <c r="AR1350" s="353"/>
      <c r="AS1350" s="354"/>
      <c r="AW1350" s="35"/>
      <c r="AX1350" s="35"/>
    </row>
    <row r="1351" spans="1:50" ht="12.75" x14ac:dyDescent="0.2">
      <c r="A1351" s="30"/>
      <c r="B1351" s="30"/>
      <c r="C1351" s="359" t="s">
        <v>495</v>
      </c>
      <c r="D1351" s="359"/>
      <c r="E1351" s="359"/>
      <c r="F1351" s="359"/>
      <c r="G1351" s="359"/>
      <c r="H1351" s="359"/>
      <c r="I1351" s="359"/>
      <c r="J1351" s="359"/>
      <c r="K1351" s="359"/>
      <c r="L1351" s="359"/>
      <c r="M1351" s="350" t="s">
        <v>408</v>
      </c>
      <c r="N1351" s="350"/>
      <c r="O1351" s="350"/>
      <c r="P1351" s="350"/>
      <c r="Q1351" s="478" t="s">
        <v>422</v>
      </c>
      <c r="R1351" s="478"/>
      <c r="S1351" s="478"/>
      <c r="T1351" s="350" t="s">
        <v>458</v>
      </c>
      <c r="U1351" s="350"/>
      <c r="V1351" s="350"/>
      <c r="W1351" s="350"/>
      <c r="X1351" s="350"/>
      <c r="Y1351" s="350"/>
      <c r="Z1351" s="350"/>
      <c r="AA1351" s="350"/>
      <c r="AB1351" s="350"/>
      <c r="AC1351" s="350" t="s">
        <v>455</v>
      </c>
      <c r="AD1351" s="350"/>
      <c r="AE1351" s="350"/>
      <c r="AF1351" s="350"/>
      <c r="AG1351" s="350"/>
      <c r="AH1351" s="350" t="s">
        <v>427</v>
      </c>
      <c r="AI1351" s="350"/>
      <c r="AJ1351" s="350"/>
      <c r="AK1351" s="351"/>
      <c r="AL1351" s="351"/>
      <c r="AM1351" s="351"/>
      <c r="AN1351" s="352" t="s">
        <v>881</v>
      </c>
      <c r="AO1351" s="353"/>
      <c r="AP1351" s="353"/>
      <c r="AQ1351" s="353"/>
      <c r="AR1351" s="353"/>
      <c r="AS1351" s="354"/>
      <c r="AW1351" s="35"/>
      <c r="AX1351" s="35"/>
    </row>
    <row r="1352" spans="1:50" ht="12.75" x14ac:dyDescent="0.2">
      <c r="A1352" s="30"/>
      <c r="B1352" s="30"/>
      <c r="C1352" s="359" t="s">
        <v>496</v>
      </c>
      <c r="D1352" s="359"/>
      <c r="E1352" s="359"/>
      <c r="F1352" s="359"/>
      <c r="G1352" s="359"/>
      <c r="H1352" s="359"/>
      <c r="I1352" s="359"/>
      <c r="J1352" s="359"/>
      <c r="K1352" s="359"/>
      <c r="L1352" s="359"/>
      <c r="M1352" s="350" t="s">
        <v>409</v>
      </c>
      <c r="N1352" s="350"/>
      <c r="O1352" s="350"/>
      <c r="P1352" s="350"/>
      <c r="Q1352" s="478" t="s">
        <v>422</v>
      </c>
      <c r="R1352" s="478"/>
      <c r="S1352" s="478"/>
      <c r="T1352" s="350" t="s">
        <v>459</v>
      </c>
      <c r="U1352" s="350"/>
      <c r="V1352" s="350"/>
      <c r="W1352" s="350"/>
      <c r="X1352" s="350"/>
      <c r="Y1352" s="350"/>
      <c r="Z1352" s="350"/>
      <c r="AA1352" s="350"/>
      <c r="AB1352" s="350"/>
      <c r="AC1352" s="350" t="s">
        <v>455</v>
      </c>
      <c r="AD1352" s="350"/>
      <c r="AE1352" s="350"/>
      <c r="AF1352" s="350"/>
      <c r="AG1352" s="350"/>
      <c r="AH1352" s="350" t="s">
        <v>428</v>
      </c>
      <c r="AI1352" s="350"/>
      <c r="AJ1352" s="350"/>
      <c r="AK1352" s="351"/>
      <c r="AL1352" s="351"/>
      <c r="AM1352" s="351"/>
      <c r="AN1352" s="352" t="s">
        <v>881</v>
      </c>
      <c r="AO1352" s="353"/>
      <c r="AP1352" s="353"/>
      <c r="AQ1352" s="353"/>
      <c r="AR1352" s="353"/>
      <c r="AS1352" s="354"/>
      <c r="AW1352" s="35"/>
      <c r="AX1352" s="35"/>
    </row>
    <row r="1353" spans="1:50" x14ac:dyDescent="0.25">
      <c r="C1353" s="359" t="s">
        <v>497</v>
      </c>
      <c r="D1353" s="359"/>
      <c r="E1353" s="359"/>
      <c r="F1353" s="359"/>
      <c r="G1353" s="359"/>
      <c r="H1353" s="359"/>
      <c r="I1353" s="359"/>
      <c r="J1353" s="359"/>
      <c r="K1353" s="359"/>
      <c r="L1353" s="359"/>
      <c r="M1353" s="350" t="s">
        <v>410</v>
      </c>
      <c r="N1353" s="350"/>
      <c r="O1353" s="350"/>
      <c r="P1353" s="350"/>
      <c r="Q1353" s="478" t="s">
        <v>422</v>
      </c>
      <c r="R1353" s="478"/>
      <c r="S1353" s="478"/>
      <c r="T1353" s="350" t="s">
        <v>460</v>
      </c>
      <c r="U1353" s="350"/>
      <c r="V1353" s="350"/>
      <c r="W1353" s="350"/>
      <c r="X1353" s="350"/>
      <c r="Y1353" s="350"/>
      <c r="Z1353" s="350"/>
      <c r="AA1353" s="350"/>
      <c r="AB1353" s="350"/>
      <c r="AC1353" s="350" t="s">
        <v>455</v>
      </c>
      <c r="AD1353" s="350"/>
      <c r="AE1353" s="350"/>
      <c r="AF1353" s="350"/>
      <c r="AG1353" s="350"/>
      <c r="AH1353" s="350" t="s">
        <v>428</v>
      </c>
      <c r="AI1353" s="350"/>
      <c r="AJ1353" s="350"/>
      <c r="AK1353" s="351"/>
      <c r="AL1353" s="351"/>
      <c r="AM1353" s="351"/>
      <c r="AN1353" s="352" t="s">
        <v>881</v>
      </c>
      <c r="AO1353" s="353"/>
      <c r="AP1353" s="353"/>
      <c r="AQ1353" s="353"/>
      <c r="AR1353" s="353"/>
      <c r="AS1353" s="354"/>
      <c r="AW1353" s="35"/>
      <c r="AX1353" s="35"/>
    </row>
    <row r="1354" spans="1:50" x14ac:dyDescent="0.25">
      <c r="C1354" s="489" t="s">
        <v>498</v>
      </c>
      <c r="D1354" s="489"/>
      <c r="E1354" s="489"/>
      <c r="F1354" s="489"/>
      <c r="G1354" s="489"/>
      <c r="H1354" s="489"/>
      <c r="I1354" s="489"/>
      <c r="J1354" s="489"/>
      <c r="K1354" s="489"/>
      <c r="L1354" s="489"/>
      <c r="M1354" s="355" t="s">
        <v>411</v>
      </c>
      <c r="N1354" s="355"/>
      <c r="O1354" s="355"/>
      <c r="P1354" s="355"/>
      <c r="Q1354" s="478" t="s">
        <v>422</v>
      </c>
      <c r="R1354" s="478"/>
      <c r="S1354" s="478"/>
      <c r="T1354" s="355" t="s">
        <v>461</v>
      </c>
      <c r="U1354" s="355"/>
      <c r="V1354" s="355"/>
      <c r="W1354" s="355"/>
      <c r="X1354" s="355"/>
      <c r="Y1354" s="355"/>
      <c r="Z1354" s="355"/>
      <c r="AA1354" s="355"/>
      <c r="AB1354" s="355"/>
      <c r="AC1354" s="355" t="s">
        <v>455</v>
      </c>
      <c r="AD1354" s="355"/>
      <c r="AE1354" s="355"/>
      <c r="AF1354" s="355"/>
      <c r="AG1354" s="355"/>
      <c r="AH1354" s="355" t="s">
        <v>429</v>
      </c>
      <c r="AI1354" s="355"/>
      <c r="AJ1354" s="355"/>
      <c r="AK1354" s="351"/>
      <c r="AL1354" s="351"/>
      <c r="AM1354" s="351"/>
      <c r="AN1354" s="352" t="s">
        <v>881</v>
      </c>
      <c r="AO1354" s="353"/>
      <c r="AP1354" s="353"/>
      <c r="AQ1354" s="353"/>
      <c r="AR1354" s="353"/>
      <c r="AS1354" s="354"/>
      <c r="AW1354" s="35"/>
      <c r="AX1354" s="35"/>
    </row>
    <row r="1355" spans="1:50" s="25" customFormat="1" x14ac:dyDescent="0.25">
      <c r="A1355" s="7"/>
      <c r="B1355" s="7"/>
      <c r="C1355" s="434" t="s">
        <v>499</v>
      </c>
      <c r="D1355" s="434"/>
      <c r="E1355" s="434"/>
      <c r="F1355" s="434"/>
      <c r="G1355" s="434"/>
      <c r="H1355" s="434"/>
      <c r="I1355" s="434"/>
      <c r="J1355" s="434"/>
      <c r="K1355" s="434"/>
      <c r="L1355" s="434"/>
      <c r="M1355" s="356" t="s">
        <v>412</v>
      </c>
      <c r="N1355" s="356"/>
      <c r="O1355" s="356"/>
      <c r="P1355" s="356"/>
      <c r="Q1355" s="478" t="s">
        <v>422</v>
      </c>
      <c r="R1355" s="478"/>
      <c r="S1355" s="478"/>
      <c r="T1355" s="356" t="s">
        <v>462</v>
      </c>
      <c r="U1355" s="356"/>
      <c r="V1355" s="356"/>
      <c r="W1355" s="356"/>
      <c r="X1355" s="356"/>
      <c r="Y1355" s="356"/>
      <c r="Z1355" s="356"/>
      <c r="AA1355" s="356"/>
      <c r="AB1355" s="356"/>
      <c r="AC1355" s="356" t="s">
        <v>455</v>
      </c>
      <c r="AD1355" s="356"/>
      <c r="AE1355" s="356"/>
      <c r="AF1355" s="356"/>
      <c r="AG1355" s="356"/>
      <c r="AH1355" s="356" t="s">
        <v>429</v>
      </c>
      <c r="AI1355" s="356"/>
      <c r="AJ1355" s="356"/>
      <c r="AK1355" s="351"/>
      <c r="AL1355" s="351"/>
      <c r="AM1355" s="351"/>
      <c r="AN1355" s="352" t="s">
        <v>881</v>
      </c>
      <c r="AO1355" s="353"/>
      <c r="AP1355" s="353"/>
      <c r="AQ1355" s="353"/>
      <c r="AR1355" s="353"/>
      <c r="AS1355" s="354"/>
    </row>
    <row r="1356" spans="1:50" s="248" customFormat="1" ht="15.75" x14ac:dyDescent="0.25">
      <c r="A1356" s="66"/>
      <c r="B1356" s="66"/>
      <c r="C1356" s="492" t="s">
        <v>540</v>
      </c>
      <c r="D1356" s="493"/>
      <c r="E1356" s="493"/>
      <c r="F1356" s="493"/>
      <c r="G1356" s="493"/>
      <c r="H1356" s="493"/>
      <c r="I1356" s="493"/>
      <c r="J1356" s="493"/>
      <c r="K1356" s="493"/>
      <c r="L1356" s="493"/>
      <c r="M1356" s="493"/>
      <c r="N1356" s="493"/>
      <c r="O1356" s="493"/>
      <c r="P1356" s="493"/>
      <c r="Q1356" s="493"/>
      <c r="R1356" s="493"/>
      <c r="S1356" s="493"/>
      <c r="T1356" s="493"/>
      <c r="U1356" s="493"/>
      <c r="V1356" s="493"/>
      <c r="W1356" s="493"/>
      <c r="X1356" s="493"/>
      <c r="Y1356" s="493"/>
      <c r="Z1356" s="493"/>
      <c r="AA1356" s="493"/>
      <c r="AB1356" s="493"/>
      <c r="AC1356" s="493"/>
      <c r="AD1356" s="493"/>
      <c r="AE1356" s="493"/>
      <c r="AF1356" s="493"/>
      <c r="AG1356" s="493"/>
      <c r="AH1356" s="493"/>
      <c r="AI1356" s="493"/>
      <c r="AJ1356" s="493"/>
      <c r="AK1356" s="493"/>
      <c r="AL1356" s="493"/>
      <c r="AM1356" s="493"/>
      <c r="AN1356" s="493"/>
      <c r="AO1356" s="493"/>
      <c r="AP1356" s="493"/>
      <c r="AQ1356" s="493"/>
      <c r="AR1356" s="493"/>
      <c r="AS1356" s="494"/>
    </row>
    <row r="1357" spans="1:50" s="35" customFormat="1" x14ac:dyDescent="0.25">
      <c r="A1357" s="68"/>
      <c r="B1357" s="68"/>
      <c r="C1357" s="350" t="s">
        <v>80</v>
      </c>
      <c r="D1357" s="350"/>
      <c r="E1357" s="350"/>
      <c r="F1357" s="350"/>
      <c r="G1357" s="350"/>
      <c r="H1357" s="350"/>
      <c r="I1357" s="350"/>
      <c r="J1357" s="350"/>
      <c r="K1357" s="350"/>
      <c r="L1357" s="350"/>
      <c r="M1357" s="350" t="s">
        <v>545</v>
      </c>
      <c r="N1357" s="350"/>
      <c r="O1357" s="350"/>
      <c r="P1357" s="350"/>
      <c r="Q1357" s="350" t="s">
        <v>546</v>
      </c>
      <c r="R1357" s="350"/>
      <c r="S1357" s="350"/>
      <c r="T1357" s="350" t="s">
        <v>547</v>
      </c>
      <c r="U1357" s="350"/>
      <c r="V1357" s="350"/>
      <c r="W1357" s="350"/>
      <c r="X1357" s="350"/>
      <c r="Y1357" s="350"/>
      <c r="Z1357" s="350"/>
      <c r="AA1357" s="350"/>
      <c r="AB1357" s="350"/>
      <c r="AC1357" s="350" t="s">
        <v>548</v>
      </c>
      <c r="AD1357" s="350"/>
      <c r="AE1357" s="350"/>
      <c r="AF1357" s="350"/>
      <c r="AG1357" s="350"/>
      <c r="AH1357" s="350" t="s">
        <v>549</v>
      </c>
      <c r="AI1357" s="350"/>
      <c r="AJ1357" s="350"/>
      <c r="AK1357" s="484" t="s">
        <v>550</v>
      </c>
      <c r="AL1357" s="484"/>
      <c r="AM1357" s="484"/>
      <c r="AN1357" s="485" t="s">
        <v>945</v>
      </c>
      <c r="AO1357" s="485"/>
      <c r="AP1357" s="485"/>
      <c r="AQ1357" s="485"/>
      <c r="AR1357" s="485"/>
      <c r="AS1357" s="485"/>
    </row>
    <row r="1358" spans="1:50" x14ac:dyDescent="0.25">
      <c r="C1358" s="359" t="s">
        <v>500</v>
      </c>
      <c r="D1358" s="359"/>
      <c r="E1358" s="359"/>
      <c r="F1358" s="359"/>
      <c r="G1358" s="359"/>
      <c r="H1358" s="359"/>
      <c r="I1358" s="359"/>
      <c r="J1358" s="359"/>
      <c r="K1358" s="359"/>
      <c r="L1358" s="359"/>
      <c r="M1358" s="350" t="s">
        <v>412</v>
      </c>
      <c r="N1358" s="350"/>
      <c r="O1358" s="350"/>
      <c r="P1358" s="350"/>
      <c r="Q1358" s="360" t="s">
        <v>421</v>
      </c>
      <c r="R1358" s="360"/>
      <c r="S1358" s="360"/>
      <c r="T1358" s="350" t="s">
        <v>462</v>
      </c>
      <c r="U1358" s="350"/>
      <c r="V1358" s="350"/>
      <c r="W1358" s="350"/>
      <c r="X1358" s="350"/>
      <c r="Y1358" s="350"/>
      <c r="Z1358" s="350"/>
      <c r="AA1358" s="350"/>
      <c r="AB1358" s="350"/>
      <c r="AC1358" s="350" t="s">
        <v>456</v>
      </c>
      <c r="AD1358" s="350"/>
      <c r="AE1358" s="350"/>
      <c r="AF1358" s="350"/>
      <c r="AG1358" s="350"/>
      <c r="AH1358" s="350" t="s">
        <v>430</v>
      </c>
      <c r="AI1358" s="350"/>
      <c r="AJ1358" s="350"/>
      <c r="AK1358" s="484" t="s">
        <v>442</v>
      </c>
      <c r="AL1358" s="484"/>
      <c r="AM1358" s="484"/>
      <c r="AN1358" s="352" t="s">
        <v>881</v>
      </c>
      <c r="AO1358" s="353"/>
      <c r="AP1358" s="353"/>
      <c r="AQ1358" s="353"/>
      <c r="AR1358" s="353"/>
      <c r="AS1358" s="354"/>
      <c r="AW1358" s="35"/>
      <c r="AX1358" s="35"/>
    </row>
    <row r="1359" spans="1:50" x14ac:dyDescent="0.25">
      <c r="C1359" s="359" t="s">
        <v>501</v>
      </c>
      <c r="D1359" s="359"/>
      <c r="E1359" s="359"/>
      <c r="F1359" s="359"/>
      <c r="G1359" s="359"/>
      <c r="H1359" s="359"/>
      <c r="I1359" s="359"/>
      <c r="J1359" s="359"/>
      <c r="K1359" s="359"/>
      <c r="L1359" s="359"/>
      <c r="M1359" s="350" t="s">
        <v>413</v>
      </c>
      <c r="N1359" s="350"/>
      <c r="O1359" s="350"/>
      <c r="P1359" s="350"/>
      <c r="Q1359" s="360" t="s">
        <v>421</v>
      </c>
      <c r="R1359" s="360"/>
      <c r="S1359" s="360"/>
      <c r="T1359" s="350" t="s">
        <v>463</v>
      </c>
      <c r="U1359" s="350"/>
      <c r="V1359" s="350"/>
      <c r="W1359" s="350"/>
      <c r="X1359" s="350"/>
      <c r="Y1359" s="350"/>
      <c r="Z1359" s="350"/>
      <c r="AA1359" s="350"/>
      <c r="AB1359" s="350"/>
      <c r="AC1359" s="350" t="s">
        <v>456</v>
      </c>
      <c r="AD1359" s="350"/>
      <c r="AE1359" s="350"/>
      <c r="AF1359" s="350"/>
      <c r="AG1359" s="350"/>
      <c r="AH1359" s="350" t="s">
        <v>430</v>
      </c>
      <c r="AI1359" s="350"/>
      <c r="AJ1359" s="350"/>
      <c r="AK1359" s="484" t="s">
        <v>443</v>
      </c>
      <c r="AL1359" s="484"/>
      <c r="AM1359" s="484"/>
      <c r="AN1359" s="352" t="s">
        <v>881</v>
      </c>
      <c r="AO1359" s="353"/>
      <c r="AP1359" s="353"/>
      <c r="AQ1359" s="353"/>
      <c r="AR1359" s="353"/>
      <c r="AS1359" s="354"/>
      <c r="AW1359" s="35"/>
      <c r="AX1359" s="35"/>
    </row>
    <row r="1360" spans="1:50" x14ac:dyDescent="0.25">
      <c r="C1360" s="359" t="s">
        <v>502</v>
      </c>
      <c r="D1360" s="359"/>
      <c r="E1360" s="359"/>
      <c r="F1360" s="359"/>
      <c r="G1360" s="359"/>
      <c r="H1360" s="359"/>
      <c r="I1360" s="359"/>
      <c r="J1360" s="359"/>
      <c r="K1360" s="359"/>
      <c r="L1360" s="359"/>
      <c r="M1360" s="350" t="s">
        <v>414</v>
      </c>
      <c r="N1360" s="350"/>
      <c r="O1360" s="350"/>
      <c r="P1360" s="350"/>
      <c r="Q1360" s="360" t="s">
        <v>421</v>
      </c>
      <c r="R1360" s="360"/>
      <c r="S1360" s="360"/>
      <c r="T1360" s="350" t="s">
        <v>464</v>
      </c>
      <c r="U1360" s="350"/>
      <c r="V1360" s="350"/>
      <c r="W1360" s="350"/>
      <c r="X1360" s="350"/>
      <c r="Y1360" s="350"/>
      <c r="Z1360" s="350"/>
      <c r="AA1360" s="350"/>
      <c r="AB1360" s="350"/>
      <c r="AC1360" s="350" t="s">
        <v>456</v>
      </c>
      <c r="AD1360" s="350"/>
      <c r="AE1360" s="350"/>
      <c r="AF1360" s="350"/>
      <c r="AG1360" s="350"/>
      <c r="AH1360" s="350" t="s">
        <v>431</v>
      </c>
      <c r="AI1360" s="350"/>
      <c r="AJ1360" s="350"/>
      <c r="AK1360" s="484" t="s">
        <v>444</v>
      </c>
      <c r="AL1360" s="484"/>
      <c r="AM1360" s="484"/>
      <c r="AN1360" s="352" t="s">
        <v>881</v>
      </c>
      <c r="AO1360" s="353"/>
      <c r="AP1360" s="353"/>
      <c r="AQ1360" s="353"/>
      <c r="AR1360" s="353"/>
      <c r="AS1360" s="354"/>
      <c r="AW1360" s="35"/>
      <c r="AX1360" s="35"/>
    </row>
    <row r="1361" spans="1:50" x14ac:dyDescent="0.25">
      <c r="C1361" s="359" t="s">
        <v>503</v>
      </c>
      <c r="D1361" s="359"/>
      <c r="E1361" s="359"/>
      <c r="F1361" s="359"/>
      <c r="G1361" s="359"/>
      <c r="H1361" s="359"/>
      <c r="I1361" s="359"/>
      <c r="J1361" s="359"/>
      <c r="K1361" s="359"/>
      <c r="L1361" s="359"/>
      <c r="M1361" s="350" t="s">
        <v>415</v>
      </c>
      <c r="N1361" s="350"/>
      <c r="O1361" s="350"/>
      <c r="P1361" s="350"/>
      <c r="Q1361" s="360" t="s">
        <v>421</v>
      </c>
      <c r="R1361" s="360"/>
      <c r="S1361" s="360"/>
      <c r="T1361" s="350" t="s">
        <v>465</v>
      </c>
      <c r="U1361" s="350"/>
      <c r="V1361" s="350"/>
      <c r="W1361" s="350"/>
      <c r="X1361" s="350"/>
      <c r="Y1361" s="350"/>
      <c r="Z1361" s="350"/>
      <c r="AA1361" s="350"/>
      <c r="AB1361" s="350"/>
      <c r="AC1361" s="350" t="s">
        <v>456</v>
      </c>
      <c r="AD1361" s="350"/>
      <c r="AE1361" s="350"/>
      <c r="AF1361" s="350"/>
      <c r="AG1361" s="350"/>
      <c r="AH1361" s="350" t="s">
        <v>432</v>
      </c>
      <c r="AI1361" s="350"/>
      <c r="AJ1361" s="350"/>
      <c r="AK1361" s="484" t="s">
        <v>445</v>
      </c>
      <c r="AL1361" s="484"/>
      <c r="AM1361" s="484"/>
      <c r="AN1361" s="352" t="s">
        <v>881</v>
      </c>
      <c r="AO1361" s="353"/>
      <c r="AP1361" s="353"/>
      <c r="AQ1361" s="353"/>
      <c r="AR1361" s="353"/>
      <c r="AS1361" s="354"/>
      <c r="AW1361" s="35"/>
      <c r="AX1361" s="35"/>
    </row>
    <row r="1362" spans="1:50" x14ac:dyDescent="0.25">
      <c r="C1362" s="359" t="s">
        <v>504</v>
      </c>
      <c r="D1362" s="359"/>
      <c r="E1362" s="359"/>
      <c r="F1362" s="359"/>
      <c r="G1362" s="359"/>
      <c r="H1362" s="359"/>
      <c r="I1362" s="359"/>
      <c r="J1362" s="359"/>
      <c r="K1362" s="359"/>
      <c r="L1362" s="359"/>
      <c r="M1362" s="350" t="s">
        <v>416</v>
      </c>
      <c r="N1362" s="350"/>
      <c r="O1362" s="350"/>
      <c r="P1362" s="350"/>
      <c r="Q1362" s="360" t="s">
        <v>421</v>
      </c>
      <c r="R1362" s="360"/>
      <c r="S1362" s="360"/>
      <c r="T1362" s="350" t="s">
        <v>466</v>
      </c>
      <c r="U1362" s="350"/>
      <c r="V1362" s="350"/>
      <c r="W1362" s="350"/>
      <c r="X1362" s="350"/>
      <c r="Y1362" s="350"/>
      <c r="Z1362" s="350"/>
      <c r="AA1362" s="350"/>
      <c r="AB1362" s="350"/>
      <c r="AC1362" s="350" t="s">
        <v>456</v>
      </c>
      <c r="AD1362" s="350"/>
      <c r="AE1362" s="350"/>
      <c r="AF1362" s="350"/>
      <c r="AG1362" s="350"/>
      <c r="AH1362" s="350" t="s">
        <v>432</v>
      </c>
      <c r="AI1362" s="350"/>
      <c r="AJ1362" s="350"/>
      <c r="AK1362" s="484" t="s">
        <v>446</v>
      </c>
      <c r="AL1362" s="484"/>
      <c r="AM1362" s="484"/>
      <c r="AN1362" s="352" t="s">
        <v>881</v>
      </c>
      <c r="AO1362" s="353"/>
      <c r="AP1362" s="353"/>
      <c r="AQ1362" s="353"/>
      <c r="AR1362" s="353"/>
      <c r="AS1362" s="354"/>
      <c r="AW1362" s="35"/>
      <c r="AX1362" s="35"/>
    </row>
    <row r="1363" spans="1:50" x14ac:dyDescent="0.25">
      <c r="C1363" s="359" t="s">
        <v>505</v>
      </c>
      <c r="D1363" s="359"/>
      <c r="E1363" s="359"/>
      <c r="F1363" s="359"/>
      <c r="G1363" s="359"/>
      <c r="H1363" s="359"/>
      <c r="I1363" s="359"/>
      <c r="J1363" s="359"/>
      <c r="K1363" s="359"/>
      <c r="L1363" s="359"/>
      <c r="M1363" s="350" t="s">
        <v>417</v>
      </c>
      <c r="N1363" s="350"/>
      <c r="O1363" s="350"/>
      <c r="P1363" s="350"/>
      <c r="Q1363" s="360" t="s">
        <v>421</v>
      </c>
      <c r="R1363" s="360"/>
      <c r="S1363" s="360"/>
      <c r="T1363" s="350" t="s">
        <v>467</v>
      </c>
      <c r="U1363" s="350"/>
      <c r="V1363" s="350"/>
      <c r="W1363" s="350"/>
      <c r="X1363" s="350"/>
      <c r="Y1363" s="350"/>
      <c r="Z1363" s="350"/>
      <c r="AA1363" s="350"/>
      <c r="AB1363" s="350"/>
      <c r="AC1363" s="350" t="s">
        <v>456</v>
      </c>
      <c r="AD1363" s="350"/>
      <c r="AE1363" s="350"/>
      <c r="AF1363" s="350"/>
      <c r="AG1363" s="350"/>
      <c r="AH1363" s="350" t="s">
        <v>429</v>
      </c>
      <c r="AI1363" s="350"/>
      <c r="AJ1363" s="350"/>
      <c r="AK1363" s="484" t="s">
        <v>446</v>
      </c>
      <c r="AL1363" s="484"/>
      <c r="AM1363" s="484"/>
      <c r="AN1363" s="352" t="s">
        <v>881</v>
      </c>
      <c r="AO1363" s="353"/>
      <c r="AP1363" s="353"/>
      <c r="AQ1363" s="353"/>
      <c r="AR1363" s="353"/>
      <c r="AS1363" s="354"/>
      <c r="AW1363" s="35"/>
      <c r="AX1363" s="35"/>
    </row>
    <row r="1364" spans="1:50" x14ac:dyDescent="0.25">
      <c r="C1364" s="359" t="s">
        <v>506</v>
      </c>
      <c r="D1364" s="359"/>
      <c r="E1364" s="359"/>
      <c r="F1364" s="359"/>
      <c r="G1364" s="359"/>
      <c r="H1364" s="359"/>
      <c r="I1364" s="359"/>
      <c r="J1364" s="359"/>
      <c r="K1364" s="359"/>
      <c r="L1364" s="359"/>
      <c r="M1364" s="350" t="s">
        <v>418</v>
      </c>
      <c r="N1364" s="350"/>
      <c r="O1364" s="350"/>
      <c r="P1364" s="350"/>
      <c r="Q1364" s="360" t="s">
        <v>421</v>
      </c>
      <c r="R1364" s="360"/>
      <c r="S1364" s="360"/>
      <c r="T1364" s="350" t="s">
        <v>468</v>
      </c>
      <c r="U1364" s="350"/>
      <c r="V1364" s="350"/>
      <c r="W1364" s="350"/>
      <c r="X1364" s="350"/>
      <c r="Y1364" s="350"/>
      <c r="Z1364" s="350"/>
      <c r="AA1364" s="350"/>
      <c r="AB1364" s="350"/>
      <c r="AC1364" s="350" t="s">
        <v>456</v>
      </c>
      <c r="AD1364" s="350"/>
      <c r="AE1364" s="350"/>
      <c r="AF1364" s="350"/>
      <c r="AG1364" s="350"/>
      <c r="AH1364" s="350" t="s">
        <v>433</v>
      </c>
      <c r="AI1364" s="350"/>
      <c r="AJ1364" s="350"/>
      <c r="AK1364" s="484" t="s">
        <v>447</v>
      </c>
      <c r="AL1364" s="484"/>
      <c r="AM1364" s="484"/>
      <c r="AN1364" s="352" t="s">
        <v>881</v>
      </c>
      <c r="AO1364" s="353"/>
      <c r="AP1364" s="353"/>
      <c r="AQ1364" s="353"/>
      <c r="AR1364" s="353"/>
      <c r="AS1364" s="354"/>
      <c r="AW1364" s="35"/>
      <c r="AX1364" s="35"/>
    </row>
    <row r="1365" spans="1:50" x14ac:dyDescent="0.25">
      <c r="C1365" s="359" t="s">
        <v>507</v>
      </c>
      <c r="D1365" s="359"/>
      <c r="E1365" s="359"/>
      <c r="F1365" s="359"/>
      <c r="G1365" s="359"/>
      <c r="H1365" s="359"/>
      <c r="I1365" s="359"/>
      <c r="J1365" s="359"/>
      <c r="K1365" s="359"/>
      <c r="L1365" s="359"/>
      <c r="M1365" s="350" t="s">
        <v>471</v>
      </c>
      <c r="N1365" s="350"/>
      <c r="O1365" s="350"/>
      <c r="P1365" s="350"/>
      <c r="Q1365" s="360" t="s">
        <v>421</v>
      </c>
      <c r="R1365" s="360"/>
      <c r="S1365" s="360"/>
      <c r="T1365" s="350" t="s">
        <v>470</v>
      </c>
      <c r="U1365" s="350"/>
      <c r="V1365" s="350"/>
      <c r="W1365" s="350"/>
      <c r="X1365" s="350"/>
      <c r="Y1365" s="350"/>
      <c r="Z1365" s="350"/>
      <c r="AA1365" s="350"/>
      <c r="AB1365" s="350"/>
      <c r="AC1365" s="350" t="s">
        <v>456</v>
      </c>
      <c r="AD1365" s="350"/>
      <c r="AE1365" s="350"/>
      <c r="AF1365" s="350"/>
      <c r="AG1365" s="350"/>
      <c r="AH1365" s="350" t="s">
        <v>435</v>
      </c>
      <c r="AI1365" s="350"/>
      <c r="AJ1365" s="350"/>
      <c r="AK1365" s="484" t="s">
        <v>449</v>
      </c>
      <c r="AL1365" s="484"/>
      <c r="AM1365" s="484"/>
      <c r="AN1365" s="352" t="s">
        <v>881</v>
      </c>
      <c r="AO1365" s="353"/>
      <c r="AP1365" s="353"/>
      <c r="AQ1365" s="353"/>
      <c r="AR1365" s="353"/>
      <c r="AS1365" s="354"/>
      <c r="AW1365" s="35"/>
      <c r="AX1365" s="35"/>
    </row>
    <row r="1366" spans="1:50" x14ac:dyDescent="0.25">
      <c r="C1366" s="359" t="s">
        <v>500</v>
      </c>
      <c r="D1366" s="359"/>
      <c r="E1366" s="359"/>
      <c r="F1366" s="359"/>
      <c r="G1366" s="359"/>
      <c r="H1366" s="359"/>
      <c r="I1366" s="359"/>
      <c r="J1366" s="359"/>
      <c r="K1366" s="359"/>
      <c r="L1366" s="359"/>
      <c r="M1366" s="350" t="s">
        <v>412</v>
      </c>
      <c r="N1366" s="350"/>
      <c r="O1366" s="350"/>
      <c r="P1366" s="350"/>
      <c r="Q1366" s="360" t="s">
        <v>421</v>
      </c>
      <c r="R1366" s="360"/>
      <c r="S1366" s="360"/>
      <c r="T1366" s="350" t="s">
        <v>462</v>
      </c>
      <c r="U1366" s="350"/>
      <c r="V1366" s="350"/>
      <c r="W1366" s="350"/>
      <c r="X1366" s="350"/>
      <c r="Y1366" s="350"/>
      <c r="Z1366" s="350"/>
      <c r="AA1366" s="350"/>
      <c r="AB1366" s="350"/>
      <c r="AC1366" s="350" t="s">
        <v>456</v>
      </c>
      <c r="AD1366" s="350"/>
      <c r="AE1366" s="350"/>
      <c r="AF1366" s="350"/>
      <c r="AG1366" s="350"/>
      <c r="AH1366" s="350" t="s">
        <v>430</v>
      </c>
      <c r="AI1366" s="350"/>
      <c r="AJ1366" s="350"/>
      <c r="AK1366" s="484" t="s">
        <v>442</v>
      </c>
      <c r="AL1366" s="484"/>
      <c r="AM1366" s="484"/>
      <c r="AN1366" s="352" t="s">
        <v>881</v>
      </c>
      <c r="AO1366" s="353"/>
      <c r="AP1366" s="353"/>
      <c r="AQ1366" s="353"/>
      <c r="AR1366" s="353"/>
      <c r="AS1366" s="354"/>
      <c r="AW1366" s="35"/>
      <c r="AX1366" s="35"/>
    </row>
    <row r="1367" spans="1:50" x14ac:dyDescent="0.25">
      <c r="C1367" s="359" t="s">
        <v>501</v>
      </c>
      <c r="D1367" s="359"/>
      <c r="E1367" s="359"/>
      <c r="F1367" s="359"/>
      <c r="G1367" s="359"/>
      <c r="H1367" s="359"/>
      <c r="I1367" s="359"/>
      <c r="J1367" s="359"/>
      <c r="K1367" s="359"/>
      <c r="L1367" s="359"/>
      <c r="M1367" s="350" t="s">
        <v>413</v>
      </c>
      <c r="N1367" s="350"/>
      <c r="O1367" s="350"/>
      <c r="P1367" s="350"/>
      <c r="Q1367" s="360" t="s">
        <v>421</v>
      </c>
      <c r="R1367" s="360"/>
      <c r="S1367" s="360"/>
      <c r="T1367" s="350" t="s">
        <v>463</v>
      </c>
      <c r="U1367" s="350"/>
      <c r="V1367" s="350"/>
      <c r="W1367" s="350"/>
      <c r="X1367" s="350"/>
      <c r="Y1367" s="350"/>
      <c r="Z1367" s="350"/>
      <c r="AA1367" s="350"/>
      <c r="AB1367" s="350"/>
      <c r="AC1367" s="350" t="s">
        <v>456</v>
      </c>
      <c r="AD1367" s="350"/>
      <c r="AE1367" s="350"/>
      <c r="AF1367" s="350"/>
      <c r="AG1367" s="350"/>
      <c r="AH1367" s="350" t="s">
        <v>430</v>
      </c>
      <c r="AI1367" s="350"/>
      <c r="AJ1367" s="350"/>
      <c r="AK1367" s="484" t="s">
        <v>443</v>
      </c>
      <c r="AL1367" s="484"/>
      <c r="AM1367" s="484"/>
      <c r="AN1367" s="352" t="s">
        <v>881</v>
      </c>
      <c r="AO1367" s="353"/>
      <c r="AP1367" s="353"/>
      <c r="AQ1367" s="353"/>
      <c r="AR1367" s="353"/>
      <c r="AS1367" s="354"/>
      <c r="AW1367" s="35"/>
      <c r="AX1367" s="35"/>
    </row>
    <row r="1368" spans="1:50" x14ac:dyDescent="0.25">
      <c r="C1368" s="359" t="s">
        <v>502</v>
      </c>
      <c r="D1368" s="359"/>
      <c r="E1368" s="359"/>
      <c r="F1368" s="359"/>
      <c r="G1368" s="359"/>
      <c r="H1368" s="359"/>
      <c r="I1368" s="359"/>
      <c r="J1368" s="359"/>
      <c r="K1368" s="359"/>
      <c r="L1368" s="359"/>
      <c r="M1368" s="350" t="s">
        <v>414</v>
      </c>
      <c r="N1368" s="350"/>
      <c r="O1368" s="350"/>
      <c r="P1368" s="350"/>
      <c r="Q1368" s="360" t="s">
        <v>421</v>
      </c>
      <c r="R1368" s="360"/>
      <c r="S1368" s="360"/>
      <c r="T1368" s="350" t="s">
        <v>464</v>
      </c>
      <c r="U1368" s="350"/>
      <c r="V1368" s="350"/>
      <c r="W1368" s="350"/>
      <c r="X1368" s="350"/>
      <c r="Y1368" s="350"/>
      <c r="Z1368" s="350"/>
      <c r="AA1368" s="350"/>
      <c r="AB1368" s="350"/>
      <c r="AC1368" s="350" t="s">
        <v>456</v>
      </c>
      <c r="AD1368" s="350"/>
      <c r="AE1368" s="350"/>
      <c r="AF1368" s="350"/>
      <c r="AG1368" s="350"/>
      <c r="AH1368" s="350" t="s">
        <v>431</v>
      </c>
      <c r="AI1368" s="350"/>
      <c r="AJ1368" s="350"/>
      <c r="AK1368" s="484" t="s">
        <v>444</v>
      </c>
      <c r="AL1368" s="484"/>
      <c r="AM1368" s="484"/>
      <c r="AN1368" s="352" t="s">
        <v>881</v>
      </c>
      <c r="AO1368" s="353"/>
      <c r="AP1368" s="353"/>
      <c r="AQ1368" s="353"/>
      <c r="AR1368" s="353"/>
      <c r="AS1368" s="354"/>
      <c r="AW1368" s="35"/>
      <c r="AX1368" s="35"/>
    </row>
    <row r="1369" spans="1:50" x14ac:dyDescent="0.25">
      <c r="C1369" s="359" t="s">
        <v>503</v>
      </c>
      <c r="D1369" s="359"/>
      <c r="E1369" s="359"/>
      <c r="F1369" s="359"/>
      <c r="G1369" s="359"/>
      <c r="H1369" s="359"/>
      <c r="I1369" s="359"/>
      <c r="J1369" s="359"/>
      <c r="K1369" s="359"/>
      <c r="L1369" s="359"/>
      <c r="M1369" s="350" t="s">
        <v>415</v>
      </c>
      <c r="N1369" s="350"/>
      <c r="O1369" s="350"/>
      <c r="P1369" s="350"/>
      <c r="Q1369" s="360" t="s">
        <v>421</v>
      </c>
      <c r="R1369" s="360"/>
      <c r="S1369" s="360"/>
      <c r="T1369" s="350" t="s">
        <v>465</v>
      </c>
      <c r="U1369" s="350"/>
      <c r="V1369" s="350"/>
      <c r="W1369" s="350"/>
      <c r="X1369" s="350"/>
      <c r="Y1369" s="350"/>
      <c r="Z1369" s="350"/>
      <c r="AA1369" s="350"/>
      <c r="AB1369" s="350"/>
      <c r="AC1369" s="350" t="s">
        <v>456</v>
      </c>
      <c r="AD1369" s="350"/>
      <c r="AE1369" s="350"/>
      <c r="AF1369" s="350"/>
      <c r="AG1369" s="350"/>
      <c r="AH1369" s="350" t="s">
        <v>432</v>
      </c>
      <c r="AI1369" s="350"/>
      <c r="AJ1369" s="350"/>
      <c r="AK1369" s="484" t="s">
        <v>445</v>
      </c>
      <c r="AL1369" s="484"/>
      <c r="AM1369" s="484"/>
      <c r="AN1369" s="352" t="s">
        <v>881</v>
      </c>
      <c r="AO1369" s="353"/>
      <c r="AP1369" s="353"/>
      <c r="AQ1369" s="353"/>
      <c r="AR1369" s="353"/>
      <c r="AS1369" s="354"/>
      <c r="AW1369" s="35"/>
      <c r="AX1369" s="35"/>
    </row>
    <row r="1370" spans="1:50" x14ac:dyDescent="0.25">
      <c r="C1370" s="359" t="s">
        <v>504</v>
      </c>
      <c r="D1370" s="359"/>
      <c r="E1370" s="359"/>
      <c r="F1370" s="359"/>
      <c r="G1370" s="359"/>
      <c r="H1370" s="359"/>
      <c r="I1370" s="359"/>
      <c r="J1370" s="359"/>
      <c r="K1370" s="359"/>
      <c r="L1370" s="359"/>
      <c r="M1370" s="350" t="s">
        <v>416</v>
      </c>
      <c r="N1370" s="350"/>
      <c r="O1370" s="350"/>
      <c r="P1370" s="350"/>
      <c r="Q1370" s="360" t="s">
        <v>421</v>
      </c>
      <c r="R1370" s="360"/>
      <c r="S1370" s="360"/>
      <c r="T1370" s="350" t="s">
        <v>466</v>
      </c>
      <c r="U1370" s="350"/>
      <c r="V1370" s="350"/>
      <c r="W1370" s="350"/>
      <c r="X1370" s="350"/>
      <c r="Y1370" s="350"/>
      <c r="Z1370" s="350"/>
      <c r="AA1370" s="350"/>
      <c r="AB1370" s="350"/>
      <c r="AC1370" s="350" t="s">
        <v>456</v>
      </c>
      <c r="AD1370" s="350"/>
      <c r="AE1370" s="350"/>
      <c r="AF1370" s="350"/>
      <c r="AG1370" s="350"/>
      <c r="AH1370" s="350" t="s">
        <v>432</v>
      </c>
      <c r="AI1370" s="350"/>
      <c r="AJ1370" s="350"/>
      <c r="AK1370" s="484" t="s">
        <v>446</v>
      </c>
      <c r="AL1370" s="484"/>
      <c r="AM1370" s="484"/>
      <c r="AN1370" s="352" t="s">
        <v>881</v>
      </c>
      <c r="AO1370" s="353"/>
      <c r="AP1370" s="353"/>
      <c r="AQ1370" s="353"/>
      <c r="AR1370" s="353"/>
      <c r="AS1370" s="354"/>
      <c r="AW1370" s="35"/>
      <c r="AX1370" s="35"/>
    </row>
    <row r="1371" spans="1:50" x14ac:dyDescent="0.25">
      <c r="C1371" s="359" t="s">
        <v>505</v>
      </c>
      <c r="D1371" s="359"/>
      <c r="E1371" s="359"/>
      <c r="F1371" s="359"/>
      <c r="G1371" s="359"/>
      <c r="H1371" s="359"/>
      <c r="I1371" s="359"/>
      <c r="J1371" s="359"/>
      <c r="K1371" s="359"/>
      <c r="L1371" s="359"/>
      <c r="M1371" s="350" t="s">
        <v>417</v>
      </c>
      <c r="N1371" s="350"/>
      <c r="O1371" s="350"/>
      <c r="P1371" s="350"/>
      <c r="Q1371" s="360" t="s">
        <v>421</v>
      </c>
      <c r="R1371" s="360"/>
      <c r="S1371" s="360"/>
      <c r="T1371" s="350" t="s">
        <v>467</v>
      </c>
      <c r="U1371" s="350"/>
      <c r="V1371" s="350"/>
      <c r="W1371" s="350"/>
      <c r="X1371" s="350"/>
      <c r="Y1371" s="350"/>
      <c r="Z1371" s="350"/>
      <c r="AA1371" s="350"/>
      <c r="AB1371" s="350"/>
      <c r="AC1371" s="350" t="s">
        <v>456</v>
      </c>
      <c r="AD1371" s="350"/>
      <c r="AE1371" s="350"/>
      <c r="AF1371" s="350"/>
      <c r="AG1371" s="350"/>
      <c r="AH1371" s="350" t="s">
        <v>429</v>
      </c>
      <c r="AI1371" s="350"/>
      <c r="AJ1371" s="350"/>
      <c r="AK1371" s="484" t="s">
        <v>446</v>
      </c>
      <c r="AL1371" s="484"/>
      <c r="AM1371" s="484"/>
      <c r="AN1371" s="352" t="s">
        <v>881</v>
      </c>
      <c r="AO1371" s="353"/>
      <c r="AP1371" s="353"/>
      <c r="AQ1371" s="353"/>
      <c r="AR1371" s="353"/>
      <c r="AS1371" s="354"/>
      <c r="AW1371" s="35"/>
      <c r="AX1371" s="35"/>
    </row>
    <row r="1372" spans="1:50" ht="12.75" x14ac:dyDescent="0.2">
      <c r="A1372" s="30"/>
      <c r="B1372" s="30"/>
      <c r="C1372" s="359" t="s">
        <v>506</v>
      </c>
      <c r="D1372" s="359"/>
      <c r="E1372" s="359"/>
      <c r="F1372" s="359"/>
      <c r="G1372" s="359"/>
      <c r="H1372" s="359"/>
      <c r="I1372" s="359"/>
      <c r="J1372" s="359"/>
      <c r="K1372" s="359"/>
      <c r="L1372" s="359"/>
      <c r="M1372" s="350" t="s">
        <v>418</v>
      </c>
      <c r="N1372" s="350"/>
      <c r="O1372" s="350"/>
      <c r="P1372" s="350"/>
      <c r="Q1372" s="360" t="s">
        <v>421</v>
      </c>
      <c r="R1372" s="360"/>
      <c r="S1372" s="360"/>
      <c r="T1372" s="350" t="s">
        <v>468</v>
      </c>
      <c r="U1372" s="350"/>
      <c r="V1372" s="350"/>
      <c r="W1372" s="350"/>
      <c r="X1372" s="350"/>
      <c r="Y1372" s="350"/>
      <c r="Z1372" s="350"/>
      <c r="AA1372" s="350"/>
      <c r="AB1372" s="350"/>
      <c r="AC1372" s="350" t="s">
        <v>456</v>
      </c>
      <c r="AD1372" s="350"/>
      <c r="AE1372" s="350"/>
      <c r="AF1372" s="350"/>
      <c r="AG1372" s="350"/>
      <c r="AH1372" s="350" t="s">
        <v>433</v>
      </c>
      <c r="AI1372" s="350"/>
      <c r="AJ1372" s="350"/>
      <c r="AK1372" s="484" t="s">
        <v>447</v>
      </c>
      <c r="AL1372" s="484"/>
      <c r="AM1372" s="484"/>
      <c r="AN1372" s="352" t="s">
        <v>881</v>
      </c>
      <c r="AO1372" s="353"/>
      <c r="AP1372" s="353"/>
      <c r="AQ1372" s="353"/>
      <c r="AR1372" s="353"/>
      <c r="AS1372" s="354"/>
      <c r="AW1372" s="35"/>
      <c r="AX1372" s="35"/>
    </row>
    <row r="1373" spans="1:50" ht="12.75" x14ac:dyDescent="0.2">
      <c r="A1373" s="30"/>
      <c r="B1373" s="30"/>
      <c r="C1373" s="359" t="s">
        <v>508</v>
      </c>
      <c r="D1373" s="359"/>
      <c r="E1373" s="359"/>
      <c r="F1373" s="359"/>
      <c r="G1373" s="359"/>
      <c r="H1373" s="359"/>
      <c r="I1373" s="359"/>
      <c r="J1373" s="359"/>
      <c r="K1373" s="359"/>
      <c r="L1373" s="359"/>
      <c r="M1373" s="350" t="s">
        <v>412</v>
      </c>
      <c r="N1373" s="350"/>
      <c r="O1373" s="350"/>
      <c r="P1373" s="350"/>
      <c r="Q1373" s="361" t="s">
        <v>422</v>
      </c>
      <c r="R1373" s="361"/>
      <c r="S1373" s="361"/>
      <c r="T1373" s="350" t="s">
        <v>462</v>
      </c>
      <c r="U1373" s="350"/>
      <c r="V1373" s="350"/>
      <c r="W1373" s="350"/>
      <c r="X1373" s="350"/>
      <c r="Y1373" s="350"/>
      <c r="Z1373" s="350"/>
      <c r="AA1373" s="350"/>
      <c r="AB1373" s="350"/>
      <c r="AC1373" s="350" t="s">
        <v>456</v>
      </c>
      <c r="AD1373" s="350"/>
      <c r="AE1373" s="350"/>
      <c r="AF1373" s="350"/>
      <c r="AG1373" s="350"/>
      <c r="AH1373" s="350" t="s">
        <v>430</v>
      </c>
      <c r="AI1373" s="350"/>
      <c r="AJ1373" s="350"/>
      <c r="AK1373" s="484" t="s">
        <v>442</v>
      </c>
      <c r="AL1373" s="484"/>
      <c r="AM1373" s="484"/>
      <c r="AN1373" s="352" t="s">
        <v>881</v>
      </c>
      <c r="AO1373" s="353"/>
      <c r="AP1373" s="353"/>
      <c r="AQ1373" s="353"/>
      <c r="AR1373" s="353"/>
      <c r="AS1373" s="354"/>
      <c r="AW1373" s="35"/>
      <c r="AX1373" s="35"/>
    </row>
    <row r="1374" spans="1:50" ht="12.75" x14ac:dyDescent="0.2">
      <c r="A1374" s="30"/>
      <c r="B1374" s="30"/>
      <c r="C1374" s="359" t="s">
        <v>509</v>
      </c>
      <c r="D1374" s="359"/>
      <c r="E1374" s="359"/>
      <c r="F1374" s="359"/>
      <c r="G1374" s="359"/>
      <c r="H1374" s="359"/>
      <c r="I1374" s="359"/>
      <c r="J1374" s="359"/>
      <c r="K1374" s="359"/>
      <c r="L1374" s="359"/>
      <c r="M1374" s="350" t="s">
        <v>413</v>
      </c>
      <c r="N1374" s="350"/>
      <c r="O1374" s="350"/>
      <c r="P1374" s="350"/>
      <c r="Q1374" s="361" t="s">
        <v>422</v>
      </c>
      <c r="R1374" s="361"/>
      <c r="S1374" s="361"/>
      <c r="T1374" s="350" t="s">
        <v>463</v>
      </c>
      <c r="U1374" s="350"/>
      <c r="V1374" s="350"/>
      <c r="W1374" s="350"/>
      <c r="X1374" s="350"/>
      <c r="Y1374" s="350"/>
      <c r="Z1374" s="350"/>
      <c r="AA1374" s="350"/>
      <c r="AB1374" s="350"/>
      <c r="AC1374" s="350" t="s">
        <v>456</v>
      </c>
      <c r="AD1374" s="350"/>
      <c r="AE1374" s="350"/>
      <c r="AF1374" s="350"/>
      <c r="AG1374" s="350"/>
      <c r="AH1374" s="350" t="s">
        <v>430</v>
      </c>
      <c r="AI1374" s="350"/>
      <c r="AJ1374" s="350"/>
      <c r="AK1374" s="484" t="s">
        <v>443</v>
      </c>
      <c r="AL1374" s="484"/>
      <c r="AM1374" s="484"/>
      <c r="AN1374" s="352" t="s">
        <v>881</v>
      </c>
      <c r="AO1374" s="353"/>
      <c r="AP1374" s="353"/>
      <c r="AQ1374" s="353"/>
      <c r="AR1374" s="353"/>
      <c r="AS1374" s="354"/>
      <c r="AW1374" s="35"/>
      <c r="AX1374" s="35"/>
    </row>
    <row r="1375" spans="1:50" ht="12.75" x14ac:dyDescent="0.2">
      <c r="A1375" s="30"/>
      <c r="B1375" s="30"/>
      <c r="C1375" s="359" t="s">
        <v>510</v>
      </c>
      <c r="D1375" s="359"/>
      <c r="E1375" s="359"/>
      <c r="F1375" s="359"/>
      <c r="G1375" s="359"/>
      <c r="H1375" s="359"/>
      <c r="I1375" s="359"/>
      <c r="J1375" s="359"/>
      <c r="K1375" s="359"/>
      <c r="L1375" s="359"/>
      <c r="M1375" s="350" t="s">
        <v>414</v>
      </c>
      <c r="N1375" s="350"/>
      <c r="O1375" s="350"/>
      <c r="P1375" s="350"/>
      <c r="Q1375" s="361" t="s">
        <v>422</v>
      </c>
      <c r="R1375" s="361"/>
      <c r="S1375" s="361"/>
      <c r="T1375" s="350" t="s">
        <v>464</v>
      </c>
      <c r="U1375" s="350"/>
      <c r="V1375" s="350"/>
      <c r="W1375" s="350"/>
      <c r="X1375" s="350"/>
      <c r="Y1375" s="350"/>
      <c r="Z1375" s="350"/>
      <c r="AA1375" s="350"/>
      <c r="AB1375" s="350"/>
      <c r="AC1375" s="350" t="s">
        <v>456</v>
      </c>
      <c r="AD1375" s="350"/>
      <c r="AE1375" s="350"/>
      <c r="AF1375" s="350"/>
      <c r="AG1375" s="350"/>
      <c r="AH1375" s="350" t="s">
        <v>431</v>
      </c>
      <c r="AI1375" s="350"/>
      <c r="AJ1375" s="350"/>
      <c r="AK1375" s="484" t="s">
        <v>444</v>
      </c>
      <c r="AL1375" s="484"/>
      <c r="AM1375" s="484"/>
      <c r="AN1375" s="352" t="s">
        <v>881</v>
      </c>
      <c r="AO1375" s="353"/>
      <c r="AP1375" s="353"/>
      <c r="AQ1375" s="353"/>
      <c r="AR1375" s="353"/>
      <c r="AS1375" s="354"/>
      <c r="AW1375" s="35"/>
      <c r="AX1375" s="35"/>
    </row>
    <row r="1376" spans="1:50" ht="12.75" x14ac:dyDescent="0.2">
      <c r="A1376" s="30"/>
      <c r="B1376" s="30"/>
      <c r="C1376" s="359" t="s">
        <v>511</v>
      </c>
      <c r="D1376" s="359"/>
      <c r="E1376" s="359"/>
      <c r="F1376" s="359"/>
      <c r="G1376" s="359"/>
      <c r="H1376" s="359"/>
      <c r="I1376" s="359"/>
      <c r="J1376" s="359"/>
      <c r="K1376" s="359"/>
      <c r="L1376" s="359"/>
      <c r="M1376" s="350" t="s">
        <v>415</v>
      </c>
      <c r="N1376" s="350"/>
      <c r="O1376" s="350"/>
      <c r="P1376" s="350"/>
      <c r="Q1376" s="361" t="s">
        <v>422</v>
      </c>
      <c r="R1376" s="361"/>
      <c r="S1376" s="361"/>
      <c r="T1376" s="350" t="s">
        <v>465</v>
      </c>
      <c r="U1376" s="350"/>
      <c r="V1376" s="350"/>
      <c r="W1376" s="350"/>
      <c r="X1376" s="350"/>
      <c r="Y1376" s="350"/>
      <c r="Z1376" s="350"/>
      <c r="AA1376" s="350"/>
      <c r="AB1376" s="350"/>
      <c r="AC1376" s="350" t="s">
        <v>456</v>
      </c>
      <c r="AD1376" s="350"/>
      <c r="AE1376" s="350"/>
      <c r="AF1376" s="350"/>
      <c r="AG1376" s="350"/>
      <c r="AH1376" s="350" t="s">
        <v>432</v>
      </c>
      <c r="AI1376" s="350"/>
      <c r="AJ1376" s="350"/>
      <c r="AK1376" s="484" t="s">
        <v>445</v>
      </c>
      <c r="AL1376" s="484"/>
      <c r="AM1376" s="484"/>
      <c r="AN1376" s="352" t="s">
        <v>881</v>
      </c>
      <c r="AO1376" s="353"/>
      <c r="AP1376" s="353"/>
      <c r="AQ1376" s="353"/>
      <c r="AR1376" s="353"/>
      <c r="AS1376" s="354"/>
      <c r="AW1376" s="35"/>
      <c r="AX1376" s="35"/>
    </row>
    <row r="1377" spans="1:50" ht="12.75" x14ac:dyDescent="0.2">
      <c r="A1377" s="30"/>
      <c r="B1377" s="30"/>
      <c r="C1377" s="359" t="s">
        <v>512</v>
      </c>
      <c r="D1377" s="359"/>
      <c r="E1377" s="359"/>
      <c r="F1377" s="359"/>
      <c r="G1377" s="359"/>
      <c r="H1377" s="359"/>
      <c r="I1377" s="359"/>
      <c r="J1377" s="359"/>
      <c r="K1377" s="359"/>
      <c r="L1377" s="359"/>
      <c r="M1377" s="350" t="s">
        <v>416</v>
      </c>
      <c r="N1377" s="350"/>
      <c r="O1377" s="350"/>
      <c r="P1377" s="350"/>
      <c r="Q1377" s="361" t="s">
        <v>422</v>
      </c>
      <c r="R1377" s="361"/>
      <c r="S1377" s="361"/>
      <c r="T1377" s="350" t="s">
        <v>466</v>
      </c>
      <c r="U1377" s="350"/>
      <c r="V1377" s="350"/>
      <c r="W1377" s="350"/>
      <c r="X1377" s="350"/>
      <c r="Y1377" s="350"/>
      <c r="Z1377" s="350"/>
      <c r="AA1377" s="350"/>
      <c r="AB1377" s="350"/>
      <c r="AC1377" s="350" t="s">
        <v>456</v>
      </c>
      <c r="AD1377" s="350"/>
      <c r="AE1377" s="350"/>
      <c r="AF1377" s="350"/>
      <c r="AG1377" s="350"/>
      <c r="AH1377" s="350" t="s">
        <v>432</v>
      </c>
      <c r="AI1377" s="350"/>
      <c r="AJ1377" s="350"/>
      <c r="AK1377" s="484" t="s">
        <v>446</v>
      </c>
      <c r="AL1377" s="484"/>
      <c r="AM1377" s="484"/>
      <c r="AN1377" s="352" t="s">
        <v>881</v>
      </c>
      <c r="AO1377" s="353"/>
      <c r="AP1377" s="353"/>
      <c r="AQ1377" s="353"/>
      <c r="AR1377" s="353"/>
      <c r="AS1377" s="354"/>
      <c r="AW1377" s="35"/>
      <c r="AX1377" s="35"/>
    </row>
    <row r="1378" spans="1:50" ht="12.75" x14ac:dyDescent="0.2">
      <c r="A1378" s="30"/>
      <c r="B1378" s="30"/>
      <c r="C1378" s="359" t="s">
        <v>513</v>
      </c>
      <c r="D1378" s="359"/>
      <c r="E1378" s="359"/>
      <c r="F1378" s="359"/>
      <c r="G1378" s="359"/>
      <c r="H1378" s="359"/>
      <c r="I1378" s="359"/>
      <c r="J1378" s="359"/>
      <c r="K1378" s="359"/>
      <c r="L1378" s="359"/>
      <c r="M1378" s="350" t="s">
        <v>417</v>
      </c>
      <c r="N1378" s="350"/>
      <c r="O1378" s="350"/>
      <c r="P1378" s="350"/>
      <c r="Q1378" s="361" t="s">
        <v>422</v>
      </c>
      <c r="R1378" s="361"/>
      <c r="S1378" s="361"/>
      <c r="T1378" s="350" t="s">
        <v>467</v>
      </c>
      <c r="U1378" s="350"/>
      <c r="V1378" s="350"/>
      <c r="W1378" s="350"/>
      <c r="X1378" s="350"/>
      <c r="Y1378" s="350"/>
      <c r="Z1378" s="350"/>
      <c r="AA1378" s="350"/>
      <c r="AB1378" s="350"/>
      <c r="AC1378" s="350" t="s">
        <v>456</v>
      </c>
      <c r="AD1378" s="350"/>
      <c r="AE1378" s="350"/>
      <c r="AF1378" s="350"/>
      <c r="AG1378" s="350"/>
      <c r="AH1378" s="350" t="s">
        <v>429</v>
      </c>
      <c r="AI1378" s="350"/>
      <c r="AJ1378" s="350"/>
      <c r="AK1378" s="484" t="s">
        <v>446</v>
      </c>
      <c r="AL1378" s="484"/>
      <c r="AM1378" s="484"/>
      <c r="AN1378" s="352" t="s">
        <v>881</v>
      </c>
      <c r="AO1378" s="353"/>
      <c r="AP1378" s="353"/>
      <c r="AQ1378" s="353"/>
      <c r="AR1378" s="353"/>
      <c r="AS1378" s="354"/>
      <c r="AW1378" s="35"/>
      <c r="AX1378" s="35"/>
    </row>
    <row r="1379" spans="1:50" ht="12.75" x14ac:dyDescent="0.2">
      <c r="A1379" s="30"/>
      <c r="B1379" s="30"/>
      <c r="C1379" s="359" t="s">
        <v>514</v>
      </c>
      <c r="D1379" s="359"/>
      <c r="E1379" s="359"/>
      <c r="F1379" s="359"/>
      <c r="G1379" s="359"/>
      <c r="H1379" s="359"/>
      <c r="I1379" s="359"/>
      <c r="J1379" s="359"/>
      <c r="K1379" s="359"/>
      <c r="L1379" s="359"/>
      <c r="M1379" s="350" t="s">
        <v>411</v>
      </c>
      <c r="N1379" s="350"/>
      <c r="O1379" s="350"/>
      <c r="P1379" s="350"/>
      <c r="Q1379" s="361" t="s">
        <v>423</v>
      </c>
      <c r="R1379" s="361"/>
      <c r="S1379" s="361"/>
      <c r="T1379" s="350" t="s">
        <v>462</v>
      </c>
      <c r="U1379" s="350"/>
      <c r="V1379" s="350"/>
      <c r="W1379" s="350"/>
      <c r="X1379" s="350"/>
      <c r="Y1379" s="350"/>
      <c r="Z1379" s="350"/>
      <c r="AA1379" s="350"/>
      <c r="AB1379" s="350"/>
      <c r="AC1379" s="350" t="s">
        <v>456</v>
      </c>
      <c r="AD1379" s="350"/>
      <c r="AE1379" s="350"/>
      <c r="AF1379" s="350"/>
      <c r="AG1379" s="350"/>
      <c r="AH1379" s="350" t="s">
        <v>430</v>
      </c>
      <c r="AI1379" s="350"/>
      <c r="AJ1379" s="350"/>
      <c r="AK1379" s="484"/>
      <c r="AL1379" s="484"/>
      <c r="AM1379" s="484"/>
      <c r="AN1379" s="352" t="s">
        <v>881</v>
      </c>
      <c r="AO1379" s="353"/>
      <c r="AP1379" s="353"/>
      <c r="AQ1379" s="353"/>
      <c r="AR1379" s="353"/>
      <c r="AS1379" s="354"/>
      <c r="AW1379" s="35"/>
      <c r="AX1379" s="35"/>
    </row>
    <row r="1380" spans="1:50" ht="12.75" x14ac:dyDescent="0.2">
      <c r="A1380" s="30"/>
      <c r="B1380" s="30"/>
      <c r="C1380" s="359" t="s">
        <v>515</v>
      </c>
      <c r="D1380" s="359"/>
      <c r="E1380" s="359"/>
      <c r="F1380" s="359"/>
      <c r="G1380" s="359"/>
      <c r="H1380" s="359"/>
      <c r="I1380" s="359"/>
      <c r="J1380" s="359"/>
      <c r="K1380" s="359"/>
      <c r="L1380" s="359"/>
      <c r="M1380" s="350" t="s">
        <v>412</v>
      </c>
      <c r="N1380" s="350"/>
      <c r="O1380" s="350"/>
      <c r="P1380" s="350"/>
      <c r="Q1380" s="361" t="s">
        <v>423</v>
      </c>
      <c r="R1380" s="361"/>
      <c r="S1380" s="361"/>
      <c r="T1380" s="350" t="s">
        <v>462</v>
      </c>
      <c r="U1380" s="350"/>
      <c r="V1380" s="350"/>
      <c r="W1380" s="350"/>
      <c r="X1380" s="350"/>
      <c r="Y1380" s="350"/>
      <c r="Z1380" s="350"/>
      <c r="AA1380" s="350"/>
      <c r="AB1380" s="350"/>
      <c r="AC1380" s="350" t="s">
        <v>456</v>
      </c>
      <c r="AD1380" s="350"/>
      <c r="AE1380" s="350"/>
      <c r="AF1380" s="350"/>
      <c r="AG1380" s="350"/>
      <c r="AH1380" s="350" t="s">
        <v>430</v>
      </c>
      <c r="AI1380" s="350"/>
      <c r="AJ1380" s="350"/>
      <c r="AK1380" s="488" t="s">
        <v>450</v>
      </c>
      <c r="AL1380" s="488"/>
      <c r="AM1380" s="488"/>
      <c r="AN1380" s="352" t="s">
        <v>881</v>
      </c>
      <c r="AO1380" s="353"/>
      <c r="AP1380" s="353"/>
      <c r="AQ1380" s="353"/>
      <c r="AR1380" s="353"/>
      <c r="AS1380" s="354"/>
      <c r="AW1380" s="35"/>
      <c r="AX1380" s="35"/>
    </row>
    <row r="1381" spans="1:50" ht="12.75" x14ac:dyDescent="0.2">
      <c r="A1381" s="30"/>
      <c r="B1381" s="30"/>
      <c r="C1381" s="359" t="s">
        <v>516</v>
      </c>
      <c r="D1381" s="359"/>
      <c r="E1381" s="359"/>
      <c r="F1381" s="359"/>
      <c r="G1381" s="359"/>
      <c r="H1381" s="359"/>
      <c r="I1381" s="359"/>
      <c r="J1381" s="359"/>
      <c r="K1381" s="359"/>
      <c r="L1381" s="359"/>
      <c r="M1381" s="350" t="s">
        <v>413</v>
      </c>
      <c r="N1381" s="350"/>
      <c r="O1381" s="350"/>
      <c r="P1381" s="350"/>
      <c r="Q1381" s="361" t="s">
        <v>423</v>
      </c>
      <c r="R1381" s="361"/>
      <c r="S1381" s="361"/>
      <c r="T1381" s="350" t="s">
        <v>463</v>
      </c>
      <c r="U1381" s="350"/>
      <c r="V1381" s="350"/>
      <c r="W1381" s="350"/>
      <c r="X1381" s="350"/>
      <c r="Y1381" s="350"/>
      <c r="Z1381" s="350"/>
      <c r="AA1381" s="350"/>
      <c r="AB1381" s="350"/>
      <c r="AC1381" s="350" t="s">
        <v>456</v>
      </c>
      <c r="AD1381" s="350"/>
      <c r="AE1381" s="350"/>
      <c r="AF1381" s="350"/>
      <c r="AG1381" s="350"/>
      <c r="AH1381" s="350" t="s">
        <v>430</v>
      </c>
      <c r="AI1381" s="350"/>
      <c r="AJ1381" s="350"/>
      <c r="AK1381" s="488" t="s">
        <v>451</v>
      </c>
      <c r="AL1381" s="488"/>
      <c r="AM1381" s="488"/>
      <c r="AN1381" s="352" t="s">
        <v>881</v>
      </c>
      <c r="AO1381" s="353"/>
      <c r="AP1381" s="353"/>
      <c r="AQ1381" s="353"/>
      <c r="AR1381" s="353"/>
      <c r="AS1381" s="354"/>
      <c r="AW1381" s="35"/>
      <c r="AX1381" s="35"/>
    </row>
    <row r="1382" spans="1:50" ht="12.75" x14ac:dyDescent="0.2">
      <c r="A1382" s="30"/>
      <c r="B1382" s="30"/>
      <c r="C1382" s="359" t="s">
        <v>517</v>
      </c>
      <c r="D1382" s="359"/>
      <c r="E1382" s="359"/>
      <c r="F1382" s="359"/>
      <c r="G1382" s="359"/>
      <c r="H1382" s="359"/>
      <c r="I1382" s="359"/>
      <c r="J1382" s="359"/>
      <c r="K1382" s="359"/>
      <c r="L1382" s="359"/>
      <c r="M1382" s="350" t="s">
        <v>414</v>
      </c>
      <c r="N1382" s="350"/>
      <c r="O1382" s="350"/>
      <c r="P1382" s="350"/>
      <c r="Q1382" s="361" t="s">
        <v>423</v>
      </c>
      <c r="R1382" s="361"/>
      <c r="S1382" s="361"/>
      <c r="T1382" s="350" t="s">
        <v>464</v>
      </c>
      <c r="U1382" s="350"/>
      <c r="V1382" s="350"/>
      <c r="W1382" s="350"/>
      <c r="X1382" s="350"/>
      <c r="Y1382" s="350"/>
      <c r="Z1382" s="350"/>
      <c r="AA1382" s="350"/>
      <c r="AB1382" s="350"/>
      <c r="AC1382" s="350" t="s">
        <v>456</v>
      </c>
      <c r="AD1382" s="350"/>
      <c r="AE1382" s="350"/>
      <c r="AF1382" s="350"/>
      <c r="AG1382" s="350"/>
      <c r="AH1382" s="350" t="s">
        <v>431</v>
      </c>
      <c r="AI1382" s="350"/>
      <c r="AJ1382" s="350"/>
      <c r="AK1382" s="488" t="s">
        <v>452</v>
      </c>
      <c r="AL1382" s="488"/>
      <c r="AM1382" s="488"/>
      <c r="AN1382" s="352" t="s">
        <v>881</v>
      </c>
      <c r="AO1382" s="353"/>
      <c r="AP1382" s="353"/>
      <c r="AQ1382" s="353"/>
      <c r="AR1382" s="353"/>
      <c r="AS1382" s="354"/>
      <c r="AW1382" s="35"/>
      <c r="AX1382" s="35"/>
    </row>
    <row r="1383" spans="1:50" ht="12.75" x14ac:dyDescent="0.2">
      <c r="A1383" s="30"/>
      <c r="B1383" s="30"/>
      <c r="C1383" s="359" t="s">
        <v>518</v>
      </c>
      <c r="D1383" s="359"/>
      <c r="E1383" s="359"/>
      <c r="F1383" s="359"/>
      <c r="G1383" s="359"/>
      <c r="H1383" s="359"/>
      <c r="I1383" s="359"/>
      <c r="J1383" s="359"/>
      <c r="K1383" s="359"/>
      <c r="L1383" s="359"/>
      <c r="M1383" s="350" t="s">
        <v>415</v>
      </c>
      <c r="N1383" s="350"/>
      <c r="O1383" s="350"/>
      <c r="P1383" s="350"/>
      <c r="Q1383" s="361" t="s">
        <v>423</v>
      </c>
      <c r="R1383" s="361"/>
      <c r="S1383" s="361"/>
      <c r="T1383" s="350" t="s">
        <v>465</v>
      </c>
      <c r="U1383" s="350"/>
      <c r="V1383" s="350"/>
      <c r="W1383" s="350"/>
      <c r="X1383" s="350"/>
      <c r="Y1383" s="350"/>
      <c r="Z1383" s="350"/>
      <c r="AA1383" s="350"/>
      <c r="AB1383" s="350"/>
      <c r="AC1383" s="350" t="s">
        <v>456</v>
      </c>
      <c r="AD1383" s="350"/>
      <c r="AE1383" s="350"/>
      <c r="AF1383" s="350"/>
      <c r="AG1383" s="350"/>
      <c r="AH1383" s="350" t="s">
        <v>432</v>
      </c>
      <c r="AI1383" s="350"/>
      <c r="AJ1383" s="350"/>
      <c r="AK1383" s="488" t="s">
        <v>453</v>
      </c>
      <c r="AL1383" s="488"/>
      <c r="AM1383" s="488"/>
      <c r="AN1383" s="352" t="s">
        <v>881</v>
      </c>
      <c r="AO1383" s="353"/>
      <c r="AP1383" s="353"/>
      <c r="AQ1383" s="353"/>
      <c r="AR1383" s="353"/>
      <c r="AS1383" s="354"/>
      <c r="AW1383" s="35"/>
      <c r="AX1383" s="35"/>
    </row>
    <row r="1384" spans="1:50" ht="12.75" x14ac:dyDescent="0.2">
      <c r="A1384" s="30"/>
      <c r="B1384" s="30"/>
      <c r="C1384" s="359" t="s">
        <v>519</v>
      </c>
      <c r="D1384" s="359"/>
      <c r="E1384" s="359"/>
      <c r="F1384" s="359"/>
      <c r="G1384" s="359"/>
      <c r="H1384" s="359"/>
      <c r="I1384" s="359"/>
      <c r="J1384" s="359"/>
      <c r="K1384" s="359"/>
      <c r="L1384" s="359"/>
      <c r="M1384" s="350" t="s">
        <v>416</v>
      </c>
      <c r="N1384" s="350"/>
      <c r="O1384" s="350"/>
      <c r="P1384" s="350"/>
      <c r="Q1384" s="361" t="s">
        <v>423</v>
      </c>
      <c r="R1384" s="361"/>
      <c r="S1384" s="361"/>
      <c r="T1384" s="350" t="s">
        <v>466</v>
      </c>
      <c r="U1384" s="350"/>
      <c r="V1384" s="350"/>
      <c r="W1384" s="350"/>
      <c r="X1384" s="350"/>
      <c r="Y1384" s="350"/>
      <c r="Z1384" s="350"/>
      <c r="AA1384" s="350"/>
      <c r="AB1384" s="350"/>
      <c r="AC1384" s="350" t="s">
        <v>456</v>
      </c>
      <c r="AD1384" s="350"/>
      <c r="AE1384" s="350"/>
      <c r="AF1384" s="350"/>
      <c r="AG1384" s="350"/>
      <c r="AH1384" s="350" t="s">
        <v>432</v>
      </c>
      <c r="AI1384" s="350"/>
      <c r="AJ1384" s="350"/>
      <c r="AK1384" s="488" t="s">
        <v>454</v>
      </c>
      <c r="AL1384" s="488"/>
      <c r="AM1384" s="488"/>
      <c r="AN1384" s="352" t="s">
        <v>881</v>
      </c>
      <c r="AO1384" s="353"/>
      <c r="AP1384" s="353"/>
      <c r="AQ1384" s="353"/>
      <c r="AR1384" s="353"/>
      <c r="AS1384" s="354"/>
      <c r="AW1384" s="35"/>
      <c r="AX1384" s="35"/>
    </row>
    <row r="1385" spans="1:50" ht="12.75" x14ac:dyDescent="0.2">
      <c r="A1385" s="30"/>
      <c r="B1385" s="30"/>
      <c r="C1385" s="359" t="s">
        <v>520</v>
      </c>
      <c r="D1385" s="359"/>
      <c r="E1385" s="359"/>
      <c r="F1385" s="359"/>
      <c r="G1385" s="359"/>
      <c r="H1385" s="359"/>
      <c r="I1385" s="359"/>
      <c r="J1385" s="359"/>
      <c r="K1385" s="359"/>
      <c r="L1385" s="359"/>
      <c r="M1385" s="350" t="s">
        <v>417</v>
      </c>
      <c r="N1385" s="350"/>
      <c r="O1385" s="350"/>
      <c r="P1385" s="350"/>
      <c r="Q1385" s="361" t="s">
        <v>423</v>
      </c>
      <c r="R1385" s="361"/>
      <c r="S1385" s="361"/>
      <c r="T1385" s="350" t="s">
        <v>467</v>
      </c>
      <c r="U1385" s="350"/>
      <c r="V1385" s="350"/>
      <c r="W1385" s="350"/>
      <c r="X1385" s="350"/>
      <c r="Y1385" s="350"/>
      <c r="Z1385" s="350"/>
      <c r="AA1385" s="350"/>
      <c r="AB1385" s="350"/>
      <c r="AC1385" s="350" t="s">
        <v>456</v>
      </c>
      <c r="AD1385" s="350"/>
      <c r="AE1385" s="350"/>
      <c r="AF1385" s="350"/>
      <c r="AG1385" s="350"/>
      <c r="AH1385" s="350" t="s">
        <v>429</v>
      </c>
      <c r="AI1385" s="350"/>
      <c r="AJ1385" s="350"/>
      <c r="AK1385" s="488" t="s">
        <v>446</v>
      </c>
      <c r="AL1385" s="488"/>
      <c r="AM1385" s="488"/>
      <c r="AN1385" s="352" t="s">
        <v>881</v>
      </c>
      <c r="AO1385" s="353"/>
      <c r="AP1385" s="353"/>
      <c r="AQ1385" s="353"/>
      <c r="AR1385" s="353"/>
      <c r="AS1385" s="354"/>
      <c r="AW1385" s="35"/>
      <c r="AX1385" s="35"/>
    </row>
    <row r="1386" spans="1:50" ht="12.75" x14ac:dyDescent="0.2">
      <c r="A1386" s="30"/>
      <c r="B1386" s="30"/>
      <c r="C1386" s="434" t="s">
        <v>536</v>
      </c>
      <c r="D1386" s="434"/>
      <c r="E1386" s="434"/>
      <c r="F1386" s="434"/>
      <c r="G1386" s="434"/>
      <c r="H1386" s="434"/>
      <c r="I1386" s="434"/>
      <c r="J1386" s="434"/>
      <c r="K1386" s="434"/>
      <c r="L1386" s="434"/>
      <c r="M1386" s="356"/>
      <c r="N1386" s="356"/>
      <c r="O1386" s="356"/>
      <c r="P1386" s="356"/>
      <c r="Q1386" s="478" t="s">
        <v>422</v>
      </c>
      <c r="R1386" s="478"/>
      <c r="S1386" s="478"/>
      <c r="T1386" s="454"/>
      <c r="U1386" s="454"/>
      <c r="V1386" s="454"/>
      <c r="W1386" s="454"/>
      <c r="X1386" s="454"/>
      <c r="Y1386" s="454"/>
      <c r="Z1386" s="454"/>
      <c r="AA1386" s="454"/>
      <c r="AB1386" s="454"/>
      <c r="AC1386" s="356"/>
      <c r="AD1386" s="356"/>
      <c r="AE1386" s="356"/>
      <c r="AF1386" s="356"/>
      <c r="AG1386" s="356"/>
      <c r="AH1386" s="356"/>
      <c r="AI1386" s="356"/>
      <c r="AJ1386" s="356"/>
      <c r="AK1386" s="479"/>
      <c r="AL1386" s="479"/>
      <c r="AM1386" s="479"/>
      <c r="AN1386" s="352" t="s">
        <v>881</v>
      </c>
      <c r="AO1386" s="353"/>
      <c r="AP1386" s="353"/>
      <c r="AQ1386" s="353"/>
      <c r="AR1386" s="353"/>
      <c r="AS1386" s="354"/>
      <c r="AW1386" s="35"/>
      <c r="AX1386" s="35"/>
    </row>
    <row r="1387" spans="1:50" ht="12.75" x14ac:dyDescent="0.2">
      <c r="A1387" s="30"/>
      <c r="B1387" s="30"/>
      <c r="C1387" s="434" t="s">
        <v>537</v>
      </c>
      <c r="D1387" s="434"/>
      <c r="E1387" s="434"/>
      <c r="F1387" s="434"/>
      <c r="G1387" s="434"/>
      <c r="H1387" s="434"/>
      <c r="I1387" s="434"/>
      <c r="J1387" s="434"/>
      <c r="K1387" s="434"/>
      <c r="L1387" s="434"/>
      <c r="M1387" s="356"/>
      <c r="N1387" s="356"/>
      <c r="O1387" s="356"/>
      <c r="P1387" s="356"/>
      <c r="Q1387" s="478" t="s">
        <v>423</v>
      </c>
      <c r="R1387" s="478"/>
      <c r="S1387" s="478"/>
      <c r="T1387" s="454"/>
      <c r="U1387" s="454"/>
      <c r="V1387" s="454"/>
      <c r="W1387" s="454"/>
      <c r="X1387" s="454"/>
      <c r="Y1387" s="454"/>
      <c r="Z1387" s="454"/>
      <c r="AA1387" s="454"/>
      <c r="AB1387" s="454"/>
      <c r="AC1387" s="356"/>
      <c r="AD1387" s="356"/>
      <c r="AE1387" s="356"/>
      <c r="AF1387" s="356"/>
      <c r="AG1387" s="356"/>
      <c r="AH1387" s="356"/>
      <c r="AI1387" s="356"/>
      <c r="AJ1387" s="356"/>
      <c r="AK1387" s="479"/>
      <c r="AL1387" s="479"/>
      <c r="AM1387" s="479"/>
      <c r="AN1387" s="352" t="s">
        <v>881</v>
      </c>
      <c r="AO1387" s="353"/>
      <c r="AP1387" s="353"/>
      <c r="AQ1387" s="353"/>
      <c r="AR1387" s="353"/>
      <c r="AS1387" s="354"/>
      <c r="AW1387" s="35"/>
      <c r="AX1387" s="35"/>
    </row>
    <row r="1388" spans="1:50" s="35" customFormat="1" ht="12.75" x14ac:dyDescent="0.2">
      <c r="C1388" s="162"/>
      <c r="D1388" s="86"/>
      <c r="E1388" s="86"/>
      <c r="F1388" s="86"/>
      <c r="G1388" s="86"/>
      <c r="H1388" s="86"/>
      <c r="I1388" s="86"/>
      <c r="J1388" s="86"/>
      <c r="K1388" s="86"/>
      <c r="L1388" s="86"/>
      <c r="M1388" s="136"/>
      <c r="N1388" s="136"/>
      <c r="O1388" s="136"/>
      <c r="P1388" s="136"/>
      <c r="Q1388" s="136"/>
      <c r="R1388" s="136"/>
      <c r="S1388" s="136"/>
      <c r="T1388" s="157"/>
      <c r="U1388" s="157"/>
      <c r="V1388" s="157"/>
      <c r="W1388" s="157"/>
      <c r="X1388" s="157"/>
      <c r="Y1388" s="157"/>
      <c r="Z1388" s="157"/>
      <c r="AA1388" s="157"/>
      <c r="AB1388" s="157"/>
      <c r="AC1388" s="136"/>
      <c r="AD1388" s="136"/>
      <c r="AE1388" s="136"/>
      <c r="AF1388" s="136"/>
      <c r="AG1388" s="136"/>
      <c r="AH1388" s="136"/>
      <c r="AI1388" s="136"/>
      <c r="AJ1388" s="136"/>
      <c r="AK1388" s="87"/>
      <c r="AL1388" s="87"/>
      <c r="AM1388" s="87"/>
      <c r="AN1388" s="88"/>
      <c r="AO1388" s="88"/>
      <c r="AP1388" s="88"/>
      <c r="AQ1388" s="88"/>
      <c r="AR1388" s="88"/>
      <c r="AS1388" s="163"/>
    </row>
    <row r="1389" spans="1:50" ht="12.75" x14ac:dyDescent="0.2">
      <c r="A1389" s="30"/>
      <c r="B1389" s="30"/>
      <c r="C1389" s="433" t="s">
        <v>542</v>
      </c>
      <c r="D1389" s="433"/>
      <c r="E1389" s="433"/>
      <c r="F1389" s="433"/>
      <c r="G1389" s="433"/>
      <c r="H1389" s="433"/>
      <c r="I1389" s="433"/>
      <c r="J1389" s="433"/>
      <c r="K1389" s="433"/>
      <c r="L1389" s="433"/>
      <c r="M1389" s="433"/>
      <c r="N1389" s="433"/>
      <c r="O1389" s="433"/>
      <c r="P1389" s="433"/>
      <c r="Q1389" s="433"/>
      <c r="R1389" s="433"/>
      <c r="S1389" s="433"/>
      <c r="T1389" s="433"/>
      <c r="U1389" s="433"/>
      <c r="V1389" s="433"/>
      <c r="W1389" s="433"/>
      <c r="X1389" s="433"/>
      <c r="Y1389" s="433"/>
      <c r="Z1389" s="433"/>
      <c r="AA1389" s="433"/>
      <c r="AB1389" s="433"/>
      <c r="AC1389" s="433"/>
      <c r="AD1389" s="433"/>
      <c r="AE1389" s="433"/>
      <c r="AF1389" s="433"/>
      <c r="AG1389" s="433"/>
      <c r="AH1389" s="433"/>
      <c r="AI1389" s="433"/>
      <c r="AJ1389" s="433"/>
      <c r="AK1389" s="433"/>
      <c r="AL1389" s="433"/>
      <c r="AM1389" s="433"/>
      <c r="AN1389" s="433"/>
      <c r="AO1389" s="433"/>
      <c r="AP1389" s="433"/>
      <c r="AQ1389" s="433"/>
      <c r="AR1389" s="433"/>
      <c r="AS1389" s="433"/>
      <c r="AW1389" s="35"/>
      <c r="AX1389" s="35"/>
    </row>
    <row r="1390" spans="1:50" ht="12.75" x14ac:dyDescent="0.2">
      <c r="A1390" s="30"/>
      <c r="B1390" s="30"/>
      <c r="C1390" s="486" t="s">
        <v>80</v>
      </c>
      <c r="D1390" s="486"/>
      <c r="E1390" s="486"/>
      <c r="F1390" s="486"/>
      <c r="G1390" s="486"/>
      <c r="H1390" s="486"/>
      <c r="I1390" s="486"/>
      <c r="J1390" s="486"/>
      <c r="K1390" s="486"/>
      <c r="L1390" s="486"/>
      <c r="M1390" s="486" t="s">
        <v>545</v>
      </c>
      <c r="N1390" s="486"/>
      <c r="O1390" s="486"/>
      <c r="P1390" s="486"/>
      <c r="Q1390" s="486" t="s">
        <v>546</v>
      </c>
      <c r="R1390" s="486"/>
      <c r="S1390" s="486"/>
      <c r="T1390" s="486" t="s">
        <v>547</v>
      </c>
      <c r="U1390" s="486"/>
      <c r="V1390" s="486"/>
      <c r="W1390" s="486"/>
      <c r="X1390" s="486"/>
      <c r="Y1390" s="486"/>
      <c r="Z1390" s="486"/>
      <c r="AA1390" s="486"/>
      <c r="AB1390" s="486"/>
      <c r="AC1390" s="486" t="s">
        <v>548</v>
      </c>
      <c r="AD1390" s="486"/>
      <c r="AE1390" s="486"/>
      <c r="AF1390" s="486"/>
      <c r="AG1390" s="486"/>
      <c r="AH1390" s="486" t="s">
        <v>549</v>
      </c>
      <c r="AI1390" s="486"/>
      <c r="AJ1390" s="486"/>
      <c r="AK1390" s="487" t="s">
        <v>550</v>
      </c>
      <c r="AL1390" s="487"/>
      <c r="AM1390" s="487"/>
      <c r="AN1390" s="485" t="s">
        <v>945</v>
      </c>
      <c r="AO1390" s="485"/>
      <c r="AP1390" s="485"/>
      <c r="AQ1390" s="485"/>
      <c r="AR1390" s="485"/>
      <c r="AS1390" s="485"/>
      <c r="AW1390" s="35"/>
      <c r="AX1390" s="35"/>
    </row>
    <row r="1391" spans="1:50" ht="12.75" x14ac:dyDescent="0.2">
      <c r="A1391" s="30"/>
      <c r="B1391" s="30"/>
      <c r="C1391" s="359" t="s">
        <v>538</v>
      </c>
      <c r="D1391" s="359"/>
      <c r="E1391" s="359"/>
      <c r="F1391" s="359"/>
      <c r="G1391" s="359"/>
      <c r="H1391" s="359"/>
      <c r="I1391" s="359"/>
      <c r="J1391" s="359"/>
      <c r="K1391" s="359"/>
      <c r="L1391" s="359"/>
      <c r="M1391" s="350" t="s">
        <v>412</v>
      </c>
      <c r="N1391" s="350"/>
      <c r="O1391" s="350"/>
      <c r="P1391" s="350"/>
      <c r="Q1391" s="360" t="s">
        <v>421</v>
      </c>
      <c r="R1391" s="360"/>
      <c r="S1391" s="360"/>
      <c r="T1391" s="350" t="s">
        <v>462</v>
      </c>
      <c r="U1391" s="350"/>
      <c r="V1391" s="350"/>
      <c r="W1391" s="350"/>
      <c r="X1391" s="350"/>
      <c r="Y1391" s="350"/>
      <c r="Z1391" s="350"/>
      <c r="AA1391" s="350"/>
      <c r="AB1391" s="350"/>
      <c r="AC1391" s="350" t="s">
        <v>456</v>
      </c>
      <c r="AD1391" s="350"/>
      <c r="AE1391" s="350"/>
      <c r="AF1391" s="350"/>
      <c r="AG1391" s="350"/>
      <c r="AH1391" s="350" t="s">
        <v>430</v>
      </c>
      <c r="AI1391" s="350"/>
      <c r="AJ1391" s="350"/>
      <c r="AK1391" s="484" t="s">
        <v>442</v>
      </c>
      <c r="AL1391" s="484"/>
      <c r="AM1391" s="484"/>
      <c r="AN1391" s="352" t="s">
        <v>881</v>
      </c>
      <c r="AO1391" s="353"/>
      <c r="AP1391" s="353"/>
      <c r="AQ1391" s="353"/>
      <c r="AR1391" s="353"/>
      <c r="AS1391" s="354"/>
      <c r="AW1391" s="35"/>
      <c r="AX1391" s="35"/>
    </row>
    <row r="1392" spans="1:50" ht="12.75" x14ac:dyDescent="0.2">
      <c r="A1392" s="30"/>
      <c r="B1392" s="30"/>
      <c r="C1392" s="359" t="s">
        <v>521</v>
      </c>
      <c r="D1392" s="359"/>
      <c r="E1392" s="359"/>
      <c r="F1392" s="359"/>
      <c r="G1392" s="359"/>
      <c r="H1392" s="359"/>
      <c r="I1392" s="359"/>
      <c r="J1392" s="359"/>
      <c r="K1392" s="359"/>
      <c r="L1392" s="359"/>
      <c r="M1392" s="350" t="s">
        <v>413</v>
      </c>
      <c r="N1392" s="350"/>
      <c r="O1392" s="350"/>
      <c r="P1392" s="350"/>
      <c r="Q1392" s="360" t="s">
        <v>421</v>
      </c>
      <c r="R1392" s="360"/>
      <c r="S1392" s="360"/>
      <c r="T1392" s="350" t="s">
        <v>463</v>
      </c>
      <c r="U1392" s="350"/>
      <c r="V1392" s="350"/>
      <c r="W1392" s="350"/>
      <c r="X1392" s="350"/>
      <c r="Y1392" s="350"/>
      <c r="Z1392" s="350"/>
      <c r="AA1392" s="350"/>
      <c r="AB1392" s="350"/>
      <c r="AC1392" s="350" t="s">
        <v>456</v>
      </c>
      <c r="AD1392" s="350"/>
      <c r="AE1392" s="350"/>
      <c r="AF1392" s="350"/>
      <c r="AG1392" s="350"/>
      <c r="AH1392" s="350" t="s">
        <v>430</v>
      </c>
      <c r="AI1392" s="350"/>
      <c r="AJ1392" s="350"/>
      <c r="AK1392" s="484" t="s">
        <v>443</v>
      </c>
      <c r="AL1392" s="484"/>
      <c r="AM1392" s="484"/>
      <c r="AN1392" s="352" t="s">
        <v>881</v>
      </c>
      <c r="AO1392" s="353"/>
      <c r="AP1392" s="353"/>
      <c r="AQ1392" s="353"/>
      <c r="AR1392" s="353"/>
      <c r="AS1392" s="354"/>
      <c r="AW1392" s="35"/>
      <c r="AX1392" s="35"/>
    </row>
    <row r="1393" spans="1:50" ht="12.75" x14ac:dyDescent="0.2">
      <c r="A1393" s="30"/>
      <c r="B1393" s="30"/>
      <c r="C1393" s="359" t="s">
        <v>522</v>
      </c>
      <c r="D1393" s="359"/>
      <c r="E1393" s="359"/>
      <c r="F1393" s="359"/>
      <c r="G1393" s="359"/>
      <c r="H1393" s="359"/>
      <c r="I1393" s="359"/>
      <c r="J1393" s="359"/>
      <c r="K1393" s="359"/>
      <c r="L1393" s="359"/>
      <c r="M1393" s="350" t="s">
        <v>414</v>
      </c>
      <c r="N1393" s="350"/>
      <c r="O1393" s="350"/>
      <c r="P1393" s="350"/>
      <c r="Q1393" s="360" t="s">
        <v>421</v>
      </c>
      <c r="R1393" s="360"/>
      <c r="S1393" s="360"/>
      <c r="T1393" s="350" t="s">
        <v>464</v>
      </c>
      <c r="U1393" s="350"/>
      <c r="V1393" s="350"/>
      <c r="W1393" s="350"/>
      <c r="X1393" s="350"/>
      <c r="Y1393" s="350"/>
      <c r="Z1393" s="350"/>
      <c r="AA1393" s="350"/>
      <c r="AB1393" s="350"/>
      <c r="AC1393" s="350" t="s">
        <v>456</v>
      </c>
      <c r="AD1393" s="350"/>
      <c r="AE1393" s="350"/>
      <c r="AF1393" s="350"/>
      <c r="AG1393" s="350"/>
      <c r="AH1393" s="350" t="s">
        <v>431</v>
      </c>
      <c r="AI1393" s="350"/>
      <c r="AJ1393" s="350"/>
      <c r="AK1393" s="484" t="s">
        <v>444</v>
      </c>
      <c r="AL1393" s="484"/>
      <c r="AM1393" s="484"/>
      <c r="AN1393" s="352" t="s">
        <v>881</v>
      </c>
      <c r="AO1393" s="353"/>
      <c r="AP1393" s="353"/>
      <c r="AQ1393" s="353"/>
      <c r="AR1393" s="353"/>
      <c r="AS1393" s="354"/>
      <c r="AW1393" s="35"/>
      <c r="AX1393" s="35"/>
    </row>
    <row r="1394" spans="1:50" ht="12.75" x14ac:dyDescent="0.2">
      <c r="A1394" s="30"/>
      <c r="B1394" s="30"/>
      <c r="C1394" s="359" t="s">
        <v>523</v>
      </c>
      <c r="D1394" s="359"/>
      <c r="E1394" s="359"/>
      <c r="F1394" s="359"/>
      <c r="G1394" s="359"/>
      <c r="H1394" s="359"/>
      <c r="I1394" s="359"/>
      <c r="J1394" s="359"/>
      <c r="K1394" s="359"/>
      <c r="L1394" s="359"/>
      <c r="M1394" s="350" t="s">
        <v>415</v>
      </c>
      <c r="N1394" s="350"/>
      <c r="O1394" s="350"/>
      <c r="P1394" s="350"/>
      <c r="Q1394" s="360" t="s">
        <v>421</v>
      </c>
      <c r="R1394" s="360"/>
      <c r="S1394" s="360"/>
      <c r="T1394" s="350" t="s">
        <v>465</v>
      </c>
      <c r="U1394" s="350"/>
      <c r="V1394" s="350"/>
      <c r="W1394" s="350"/>
      <c r="X1394" s="350"/>
      <c r="Y1394" s="350"/>
      <c r="Z1394" s="350"/>
      <c r="AA1394" s="350"/>
      <c r="AB1394" s="350"/>
      <c r="AC1394" s="350" t="s">
        <v>456</v>
      </c>
      <c r="AD1394" s="350"/>
      <c r="AE1394" s="350"/>
      <c r="AF1394" s="350"/>
      <c r="AG1394" s="350"/>
      <c r="AH1394" s="350" t="s">
        <v>432</v>
      </c>
      <c r="AI1394" s="350"/>
      <c r="AJ1394" s="350"/>
      <c r="AK1394" s="484" t="s">
        <v>445</v>
      </c>
      <c r="AL1394" s="484"/>
      <c r="AM1394" s="484"/>
      <c r="AN1394" s="352" t="s">
        <v>881</v>
      </c>
      <c r="AO1394" s="353"/>
      <c r="AP1394" s="353"/>
      <c r="AQ1394" s="353"/>
      <c r="AR1394" s="353"/>
      <c r="AS1394" s="354"/>
      <c r="AW1394" s="35"/>
      <c r="AX1394" s="35"/>
    </row>
    <row r="1395" spans="1:50" ht="12.75" x14ac:dyDescent="0.2">
      <c r="A1395" s="30"/>
      <c r="B1395" s="30"/>
      <c r="C1395" s="359" t="s">
        <v>524</v>
      </c>
      <c r="D1395" s="359"/>
      <c r="E1395" s="359"/>
      <c r="F1395" s="359"/>
      <c r="G1395" s="359"/>
      <c r="H1395" s="359"/>
      <c r="I1395" s="359"/>
      <c r="J1395" s="359"/>
      <c r="K1395" s="359"/>
      <c r="L1395" s="359"/>
      <c r="M1395" s="350" t="s">
        <v>416</v>
      </c>
      <c r="N1395" s="350"/>
      <c r="O1395" s="350"/>
      <c r="P1395" s="350"/>
      <c r="Q1395" s="360" t="s">
        <v>421</v>
      </c>
      <c r="R1395" s="360"/>
      <c r="S1395" s="360"/>
      <c r="T1395" s="350" t="s">
        <v>466</v>
      </c>
      <c r="U1395" s="350"/>
      <c r="V1395" s="350"/>
      <c r="W1395" s="350"/>
      <c r="X1395" s="350"/>
      <c r="Y1395" s="350"/>
      <c r="Z1395" s="350"/>
      <c r="AA1395" s="350"/>
      <c r="AB1395" s="350"/>
      <c r="AC1395" s="350" t="s">
        <v>456</v>
      </c>
      <c r="AD1395" s="350"/>
      <c r="AE1395" s="350"/>
      <c r="AF1395" s="350"/>
      <c r="AG1395" s="350"/>
      <c r="AH1395" s="350" t="s">
        <v>432</v>
      </c>
      <c r="AI1395" s="350"/>
      <c r="AJ1395" s="350"/>
      <c r="AK1395" s="484" t="s">
        <v>446</v>
      </c>
      <c r="AL1395" s="484"/>
      <c r="AM1395" s="484"/>
      <c r="AN1395" s="352" t="s">
        <v>881</v>
      </c>
      <c r="AO1395" s="353"/>
      <c r="AP1395" s="353"/>
      <c r="AQ1395" s="353"/>
      <c r="AR1395" s="353"/>
      <c r="AS1395" s="354"/>
      <c r="AW1395" s="35"/>
      <c r="AX1395" s="35"/>
    </row>
    <row r="1396" spans="1:50" ht="12.75" x14ac:dyDescent="0.2">
      <c r="A1396" s="30"/>
      <c r="B1396" s="30"/>
      <c r="C1396" s="359" t="s">
        <v>525</v>
      </c>
      <c r="D1396" s="359"/>
      <c r="E1396" s="359"/>
      <c r="F1396" s="359"/>
      <c r="G1396" s="359"/>
      <c r="H1396" s="359"/>
      <c r="I1396" s="359"/>
      <c r="J1396" s="359"/>
      <c r="K1396" s="359"/>
      <c r="L1396" s="359"/>
      <c r="M1396" s="350" t="s">
        <v>417</v>
      </c>
      <c r="N1396" s="350"/>
      <c r="O1396" s="350"/>
      <c r="P1396" s="350"/>
      <c r="Q1396" s="360" t="s">
        <v>421</v>
      </c>
      <c r="R1396" s="360"/>
      <c r="S1396" s="360"/>
      <c r="T1396" s="350" t="s">
        <v>467</v>
      </c>
      <c r="U1396" s="350"/>
      <c r="V1396" s="350"/>
      <c r="W1396" s="350"/>
      <c r="X1396" s="350"/>
      <c r="Y1396" s="350"/>
      <c r="Z1396" s="350"/>
      <c r="AA1396" s="350"/>
      <c r="AB1396" s="350"/>
      <c r="AC1396" s="350" t="s">
        <v>456</v>
      </c>
      <c r="AD1396" s="350"/>
      <c r="AE1396" s="350"/>
      <c r="AF1396" s="350"/>
      <c r="AG1396" s="350"/>
      <c r="AH1396" s="350" t="s">
        <v>429</v>
      </c>
      <c r="AI1396" s="350"/>
      <c r="AJ1396" s="350"/>
      <c r="AK1396" s="484" t="s">
        <v>446</v>
      </c>
      <c r="AL1396" s="484"/>
      <c r="AM1396" s="484"/>
      <c r="AN1396" s="352" t="s">
        <v>881</v>
      </c>
      <c r="AO1396" s="353"/>
      <c r="AP1396" s="353"/>
      <c r="AQ1396" s="353"/>
      <c r="AR1396" s="353"/>
      <c r="AS1396" s="354"/>
      <c r="AW1396" s="35"/>
      <c r="AX1396" s="35"/>
    </row>
    <row r="1397" spans="1:50" ht="12.75" x14ac:dyDescent="0.2">
      <c r="A1397" s="30"/>
      <c r="B1397" s="30"/>
      <c r="C1397" s="359" t="s">
        <v>526</v>
      </c>
      <c r="D1397" s="359"/>
      <c r="E1397" s="359"/>
      <c r="F1397" s="359"/>
      <c r="G1397" s="359"/>
      <c r="H1397" s="359"/>
      <c r="I1397" s="359"/>
      <c r="J1397" s="359"/>
      <c r="K1397" s="359"/>
      <c r="L1397" s="359"/>
      <c r="M1397" s="350" t="s">
        <v>418</v>
      </c>
      <c r="N1397" s="350"/>
      <c r="O1397" s="350"/>
      <c r="P1397" s="350"/>
      <c r="Q1397" s="360" t="s">
        <v>421</v>
      </c>
      <c r="R1397" s="360"/>
      <c r="S1397" s="360"/>
      <c r="T1397" s="350" t="s">
        <v>468</v>
      </c>
      <c r="U1397" s="350"/>
      <c r="V1397" s="350"/>
      <c r="W1397" s="350"/>
      <c r="X1397" s="350"/>
      <c r="Y1397" s="350"/>
      <c r="Z1397" s="350"/>
      <c r="AA1397" s="350"/>
      <c r="AB1397" s="350"/>
      <c r="AC1397" s="350" t="s">
        <v>456</v>
      </c>
      <c r="AD1397" s="350"/>
      <c r="AE1397" s="350"/>
      <c r="AF1397" s="350"/>
      <c r="AG1397" s="350"/>
      <c r="AH1397" s="350" t="s">
        <v>433</v>
      </c>
      <c r="AI1397" s="350"/>
      <c r="AJ1397" s="350"/>
      <c r="AK1397" s="484" t="s">
        <v>447</v>
      </c>
      <c r="AL1397" s="484"/>
      <c r="AM1397" s="484"/>
      <c r="AN1397" s="352" t="s">
        <v>881</v>
      </c>
      <c r="AO1397" s="353"/>
      <c r="AP1397" s="353"/>
      <c r="AQ1397" s="353"/>
      <c r="AR1397" s="353"/>
      <c r="AS1397" s="354"/>
      <c r="AW1397" s="35"/>
      <c r="AX1397" s="35"/>
    </row>
    <row r="1398" spans="1:50" ht="12.75" x14ac:dyDescent="0.2">
      <c r="A1398" s="30"/>
      <c r="B1398" s="30"/>
      <c r="C1398" s="359" t="s">
        <v>527</v>
      </c>
      <c r="D1398" s="359"/>
      <c r="E1398" s="359"/>
      <c r="F1398" s="359"/>
      <c r="G1398" s="359"/>
      <c r="H1398" s="359"/>
      <c r="I1398" s="359"/>
      <c r="J1398" s="359"/>
      <c r="K1398" s="359"/>
      <c r="L1398" s="359"/>
      <c r="M1398" s="350" t="s">
        <v>419</v>
      </c>
      <c r="N1398" s="350"/>
      <c r="O1398" s="350"/>
      <c r="P1398" s="350"/>
      <c r="Q1398" s="360" t="s">
        <v>421</v>
      </c>
      <c r="R1398" s="360"/>
      <c r="S1398" s="360"/>
      <c r="T1398" s="350" t="s">
        <v>469</v>
      </c>
      <c r="U1398" s="350"/>
      <c r="V1398" s="350"/>
      <c r="W1398" s="350"/>
      <c r="X1398" s="350"/>
      <c r="Y1398" s="350"/>
      <c r="Z1398" s="350"/>
      <c r="AA1398" s="350"/>
      <c r="AB1398" s="350"/>
      <c r="AC1398" s="350" t="s">
        <v>456</v>
      </c>
      <c r="AD1398" s="350"/>
      <c r="AE1398" s="350"/>
      <c r="AF1398" s="350"/>
      <c r="AG1398" s="350"/>
      <c r="AH1398" s="350" t="s">
        <v>434</v>
      </c>
      <c r="AI1398" s="350"/>
      <c r="AJ1398" s="350"/>
      <c r="AK1398" s="484" t="s">
        <v>448</v>
      </c>
      <c r="AL1398" s="484"/>
      <c r="AM1398" s="484"/>
      <c r="AN1398" s="352" t="s">
        <v>881</v>
      </c>
      <c r="AO1398" s="353"/>
      <c r="AP1398" s="353"/>
      <c r="AQ1398" s="353"/>
      <c r="AR1398" s="353"/>
      <c r="AS1398" s="354"/>
      <c r="AW1398" s="35"/>
      <c r="AX1398" s="35"/>
    </row>
    <row r="1399" spans="1:50" ht="12.75" x14ac:dyDescent="0.2">
      <c r="A1399" s="30"/>
      <c r="B1399" s="30"/>
      <c r="C1399" s="359" t="s">
        <v>528</v>
      </c>
      <c r="D1399" s="359"/>
      <c r="E1399" s="359"/>
      <c r="F1399" s="359"/>
      <c r="G1399" s="359"/>
      <c r="H1399" s="359"/>
      <c r="I1399" s="359"/>
      <c r="J1399" s="359"/>
      <c r="K1399" s="359"/>
      <c r="L1399" s="359"/>
      <c r="M1399" s="350" t="s">
        <v>471</v>
      </c>
      <c r="N1399" s="350"/>
      <c r="O1399" s="350"/>
      <c r="P1399" s="350"/>
      <c r="Q1399" s="360" t="s">
        <v>421</v>
      </c>
      <c r="R1399" s="360"/>
      <c r="S1399" s="360"/>
      <c r="T1399" s="350" t="s">
        <v>470</v>
      </c>
      <c r="U1399" s="350"/>
      <c r="V1399" s="350"/>
      <c r="W1399" s="350"/>
      <c r="X1399" s="350"/>
      <c r="Y1399" s="350"/>
      <c r="Z1399" s="350"/>
      <c r="AA1399" s="350"/>
      <c r="AB1399" s="350"/>
      <c r="AC1399" s="350" t="s">
        <v>456</v>
      </c>
      <c r="AD1399" s="350"/>
      <c r="AE1399" s="350"/>
      <c r="AF1399" s="350"/>
      <c r="AG1399" s="350"/>
      <c r="AH1399" s="350" t="s">
        <v>435</v>
      </c>
      <c r="AI1399" s="350"/>
      <c r="AJ1399" s="350"/>
      <c r="AK1399" s="484" t="s">
        <v>449</v>
      </c>
      <c r="AL1399" s="484"/>
      <c r="AM1399" s="484"/>
      <c r="AN1399" s="352" t="s">
        <v>881</v>
      </c>
      <c r="AO1399" s="353"/>
      <c r="AP1399" s="353"/>
      <c r="AQ1399" s="353"/>
      <c r="AR1399" s="353"/>
      <c r="AS1399" s="354"/>
      <c r="AW1399" s="35"/>
      <c r="AX1399" s="35"/>
    </row>
    <row r="1400" spans="1:50" ht="12.75" x14ac:dyDescent="0.2">
      <c r="A1400" s="30"/>
      <c r="B1400" s="30"/>
      <c r="C1400" s="359" t="s">
        <v>529</v>
      </c>
      <c r="D1400" s="359"/>
      <c r="E1400" s="359"/>
      <c r="F1400" s="359"/>
      <c r="G1400" s="359"/>
      <c r="H1400" s="359"/>
      <c r="I1400" s="359"/>
      <c r="J1400" s="359"/>
      <c r="K1400" s="359"/>
      <c r="L1400" s="359"/>
      <c r="M1400" s="350" t="s">
        <v>412</v>
      </c>
      <c r="N1400" s="350"/>
      <c r="O1400" s="350"/>
      <c r="P1400" s="350"/>
      <c r="Q1400" s="361" t="s">
        <v>422</v>
      </c>
      <c r="R1400" s="361"/>
      <c r="S1400" s="361"/>
      <c r="T1400" s="350" t="s">
        <v>462</v>
      </c>
      <c r="U1400" s="350"/>
      <c r="V1400" s="350"/>
      <c r="W1400" s="350"/>
      <c r="X1400" s="350"/>
      <c r="Y1400" s="350"/>
      <c r="Z1400" s="350"/>
      <c r="AA1400" s="350"/>
      <c r="AB1400" s="350"/>
      <c r="AC1400" s="350" t="s">
        <v>456</v>
      </c>
      <c r="AD1400" s="350"/>
      <c r="AE1400" s="350"/>
      <c r="AF1400" s="350"/>
      <c r="AG1400" s="350"/>
      <c r="AH1400" s="350" t="s">
        <v>430</v>
      </c>
      <c r="AI1400" s="350"/>
      <c r="AJ1400" s="350"/>
      <c r="AK1400" s="484" t="s">
        <v>442</v>
      </c>
      <c r="AL1400" s="484"/>
      <c r="AM1400" s="484"/>
      <c r="AN1400" s="352" t="s">
        <v>881</v>
      </c>
      <c r="AO1400" s="353"/>
      <c r="AP1400" s="353"/>
      <c r="AQ1400" s="353"/>
      <c r="AR1400" s="353"/>
      <c r="AS1400" s="354"/>
      <c r="AW1400" s="35"/>
      <c r="AX1400" s="35"/>
    </row>
    <row r="1401" spans="1:50" ht="12.75" x14ac:dyDescent="0.2">
      <c r="A1401" s="30"/>
      <c r="B1401" s="30"/>
      <c r="C1401" s="359" t="s">
        <v>530</v>
      </c>
      <c r="D1401" s="359"/>
      <c r="E1401" s="359"/>
      <c r="F1401" s="359"/>
      <c r="G1401" s="359"/>
      <c r="H1401" s="359"/>
      <c r="I1401" s="359"/>
      <c r="J1401" s="359"/>
      <c r="K1401" s="359"/>
      <c r="L1401" s="359"/>
      <c r="M1401" s="350" t="s">
        <v>413</v>
      </c>
      <c r="N1401" s="350"/>
      <c r="O1401" s="350"/>
      <c r="P1401" s="350"/>
      <c r="Q1401" s="361" t="s">
        <v>422</v>
      </c>
      <c r="R1401" s="361"/>
      <c r="S1401" s="361"/>
      <c r="T1401" s="350" t="s">
        <v>463</v>
      </c>
      <c r="U1401" s="350"/>
      <c r="V1401" s="350"/>
      <c r="W1401" s="350"/>
      <c r="X1401" s="350"/>
      <c r="Y1401" s="350"/>
      <c r="Z1401" s="350"/>
      <c r="AA1401" s="350"/>
      <c r="AB1401" s="350"/>
      <c r="AC1401" s="350" t="s">
        <v>456</v>
      </c>
      <c r="AD1401" s="350"/>
      <c r="AE1401" s="350"/>
      <c r="AF1401" s="350"/>
      <c r="AG1401" s="350"/>
      <c r="AH1401" s="350" t="s">
        <v>430</v>
      </c>
      <c r="AI1401" s="350"/>
      <c r="AJ1401" s="350"/>
      <c r="AK1401" s="484" t="s">
        <v>443</v>
      </c>
      <c r="AL1401" s="484"/>
      <c r="AM1401" s="484"/>
      <c r="AN1401" s="352" t="s">
        <v>881</v>
      </c>
      <c r="AO1401" s="353"/>
      <c r="AP1401" s="353"/>
      <c r="AQ1401" s="353"/>
      <c r="AR1401" s="353"/>
      <c r="AS1401" s="354"/>
      <c r="AW1401" s="35"/>
      <c r="AX1401" s="35"/>
    </row>
    <row r="1402" spans="1:50" ht="12.75" x14ac:dyDescent="0.2">
      <c r="A1402" s="30"/>
      <c r="B1402" s="30"/>
      <c r="C1402" s="359" t="s">
        <v>531</v>
      </c>
      <c r="D1402" s="359"/>
      <c r="E1402" s="359"/>
      <c r="F1402" s="359"/>
      <c r="G1402" s="359"/>
      <c r="H1402" s="359"/>
      <c r="I1402" s="359"/>
      <c r="J1402" s="359"/>
      <c r="K1402" s="359"/>
      <c r="L1402" s="359"/>
      <c r="M1402" s="350" t="s">
        <v>414</v>
      </c>
      <c r="N1402" s="350"/>
      <c r="O1402" s="350"/>
      <c r="P1402" s="350"/>
      <c r="Q1402" s="361" t="s">
        <v>422</v>
      </c>
      <c r="R1402" s="361"/>
      <c r="S1402" s="361"/>
      <c r="T1402" s="350" t="s">
        <v>464</v>
      </c>
      <c r="U1402" s="350"/>
      <c r="V1402" s="350"/>
      <c r="W1402" s="350"/>
      <c r="X1402" s="350"/>
      <c r="Y1402" s="350"/>
      <c r="Z1402" s="350"/>
      <c r="AA1402" s="350"/>
      <c r="AB1402" s="350"/>
      <c r="AC1402" s="350" t="s">
        <v>456</v>
      </c>
      <c r="AD1402" s="350"/>
      <c r="AE1402" s="350"/>
      <c r="AF1402" s="350"/>
      <c r="AG1402" s="350"/>
      <c r="AH1402" s="350" t="s">
        <v>431</v>
      </c>
      <c r="AI1402" s="350"/>
      <c r="AJ1402" s="350"/>
      <c r="AK1402" s="484" t="s">
        <v>444</v>
      </c>
      <c r="AL1402" s="484"/>
      <c r="AM1402" s="484"/>
      <c r="AN1402" s="352" t="s">
        <v>881</v>
      </c>
      <c r="AO1402" s="353"/>
      <c r="AP1402" s="353"/>
      <c r="AQ1402" s="353"/>
      <c r="AR1402" s="353"/>
      <c r="AS1402" s="354"/>
      <c r="AW1402" s="35"/>
      <c r="AX1402" s="35"/>
    </row>
    <row r="1403" spans="1:50" ht="12.75" x14ac:dyDescent="0.2">
      <c r="A1403" s="30"/>
      <c r="B1403" s="30"/>
      <c r="C1403" s="359" t="s">
        <v>532</v>
      </c>
      <c r="D1403" s="359"/>
      <c r="E1403" s="359"/>
      <c r="F1403" s="359"/>
      <c r="G1403" s="359"/>
      <c r="H1403" s="359"/>
      <c r="I1403" s="359"/>
      <c r="J1403" s="359"/>
      <c r="K1403" s="359"/>
      <c r="L1403" s="359"/>
      <c r="M1403" s="350" t="s">
        <v>415</v>
      </c>
      <c r="N1403" s="350"/>
      <c r="O1403" s="350"/>
      <c r="P1403" s="350"/>
      <c r="Q1403" s="361" t="s">
        <v>422</v>
      </c>
      <c r="R1403" s="361"/>
      <c r="S1403" s="361"/>
      <c r="T1403" s="350" t="s">
        <v>465</v>
      </c>
      <c r="U1403" s="350"/>
      <c r="V1403" s="350"/>
      <c r="W1403" s="350"/>
      <c r="X1403" s="350"/>
      <c r="Y1403" s="350"/>
      <c r="Z1403" s="350"/>
      <c r="AA1403" s="350"/>
      <c r="AB1403" s="350"/>
      <c r="AC1403" s="350" t="s">
        <v>456</v>
      </c>
      <c r="AD1403" s="350"/>
      <c r="AE1403" s="350"/>
      <c r="AF1403" s="350"/>
      <c r="AG1403" s="350"/>
      <c r="AH1403" s="350" t="s">
        <v>432</v>
      </c>
      <c r="AI1403" s="350"/>
      <c r="AJ1403" s="350"/>
      <c r="AK1403" s="484" t="s">
        <v>445</v>
      </c>
      <c r="AL1403" s="484"/>
      <c r="AM1403" s="484"/>
      <c r="AN1403" s="352" t="s">
        <v>881</v>
      </c>
      <c r="AO1403" s="353"/>
      <c r="AP1403" s="353"/>
      <c r="AQ1403" s="353"/>
      <c r="AR1403" s="353"/>
      <c r="AS1403" s="354"/>
      <c r="AW1403" s="35"/>
      <c r="AX1403" s="35"/>
    </row>
    <row r="1404" spans="1:50" ht="12.75" x14ac:dyDescent="0.2">
      <c r="A1404" s="30"/>
      <c r="B1404" s="30"/>
      <c r="C1404" s="359" t="s">
        <v>533</v>
      </c>
      <c r="D1404" s="359"/>
      <c r="E1404" s="359"/>
      <c r="F1404" s="359"/>
      <c r="G1404" s="359"/>
      <c r="H1404" s="359"/>
      <c r="I1404" s="359"/>
      <c r="J1404" s="359"/>
      <c r="K1404" s="359"/>
      <c r="L1404" s="359"/>
      <c r="M1404" s="350" t="s">
        <v>416</v>
      </c>
      <c r="N1404" s="350"/>
      <c r="O1404" s="350"/>
      <c r="P1404" s="350"/>
      <c r="Q1404" s="361" t="s">
        <v>422</v>
      </c>
      <c r="R1404" s="361"/>
      <c r="S1404" s="361"/>
      <c r="T1404" s="350" t="s">
        <v>466</v>
      </c>
      <c r="U1404" s="350"/>
      <c r="V1404" s="350"/>
      <c r="W1404" s="350"/>
      <c r="X1404" s="350"/>
      <c r="Y1404" s="350"/>
      <c r="Z1404" s="350"/>
      <c r="AA1404" s="350"/>
      <c r="AB1404" s="350"/>
      <c r="AC1404" s="350" t="s">
        <v>456</v>
      </c>
      <c r="AD1404" s="350"/>
      <c r="AE1404" s="350"/>
      <c r="AF1404" s="350"/>
      <c r="AG1404" s="350"/>
      <c r="AH1404" s="350" t="s">
        <v>432</v>
      </c>
      <c r="AI1404" s="350"/>
      <c r="AJ1404" s="350"/>
      <c r="AK1404" s="484" t="s">
        <v>446</v>
      </c>
      <c r="AL1404" s="484"/>
      <c r="AM1404" s="484"/>
      <c r="AN1404" s="352" t="s">
        <v>881</v>
      </c>
      <c r="AO1404" s="353"/>
      <c r="AP1404" s="353"/>
      <c r="AQ1404" s="353"/>
      <c r="AR1404" s="353"/>
      <c r="AS1404" s="354"/>
      <c r="AW1404" s="35"/>
      <c r="AX1404" s="35"/>
    </row>
    <row r="1405" spans="1:50" ht="12.75" x14ac:dyDescent="0.2">
      <c r="A1405" s="30"/>
      <c r="B1405" s="30"/>
      <c r="C1405" s="359" t="s">
        <v>534</v>
      </c>
      <c r="D1405" s="359"/>
      <c r="E1405" s="359"/>
      <c r="F1405" s="359"/>
      <c r="G1405" s="359"/>
      <c r="H1405" s="359"/>
      <c r="I1405" s="359"/>
      <c r="J1405" s="359"/>
      <c r="K1405" s="359"/>
      <c r="L1405" s="359"/>
      <c r="M1405" s="350" t="s">
        <v>417</v>
      </c>
      <c r="N1405" s="350"/>
      <c r="O1405" s="350"/>
      <c r="P1405" s="350"/>
      <c r="Q1405" s="361" t="s">
        <v>422</v>
      </c>
      <c r="R1405" s="361"/>
      <c r="S1405" s="361"/>
      <c r="T1405" s="350" t="s">
        <v>467</v>
      </c>
      <c r="U1405" s="350"/>
      <c r="V1405" s="350"/>
      <c r="W1405" s="350"/>
      <c r="X1405" s="350"/>
      <c r="Y1405" s="350"/>
      <c r="Z1405" s="350"/>
      <c r="AA1405" s="350"/>
      <c r="AB1405" s="350"/>
      <c r="AC1405" s="350" t="s">
        <v>456</v>
      </c>
      <c r="AD1405" s="350"/>
      <c r="AE1405" s="350"/>
      <c r="AF1405" s="350"/>
      <c r="AG1405" s="350"/>
      <c r="AH1405" s="350" t="s">
        <v>429</v>
      </c>
      <c r="AI1405" s="350"/>
      <c r="AJ1405" s="350"/>
      <c r="AK1405" s="484" t="s">
        <v>446</v>
      </c>
      <c r="AL1405" s="484"/>
      <c r="AM1405" s="484"/>
      <c r="AN1405" s="352" t="s">
        <v>881</v>
      </c>
      <c r="AO1405" s="353"/>
      <c r="AP1405" s="353"/>
      <c r="AQ1405" s="353"/>
      <c r="AR1405" s="353"/>
      <c r="AS1405" s="354"/>
      <c r="AW1405" s="35"/>
      <c r="AX1405" s="35"/>
    </row>
    <row r="1406" spans="1:50" ht="12.75" x14ac:dyDescent="0.2">
      <c r="A1406" s="30"/>
      <c r="B1406" s="30"/>
      <c r="C1406" s="359" t="s">
        <v>535</v>
      </c>
      <c r="D1406" s="359"/>
      <c r="E1406" s="359"/>
      <c r="F1406" s="359"/>
      <c r="G1406" s="359"/>
      <c r="H1406" s="359"/>
      <c r="I1406" s="359"/>
      <c r="J1406" s="359"/>
      <c r="K1406" s="359"/>
      <c r="L1406" s="359"/>
      <c r="M1406" s="350" t="s">
        <v>418</v>
      </c>
      <c r="N1406" s="350"/>
      <c r="O1406" s="350"/>
      <c r="P1406" s="350"/>
      <c r="Q1406" s="361" t="s">
        <v>422</v>
      </c>
      <c r="R1406" s="361"/>
      <c r="S1406" s="361"/>
      <c r="T1406" s="350" t="s">
        <v>468</v>
      </c>
      <c r="U1406" s="350"/>
      <c r="V1406" s="350"/>
      <c r="W1406" s="350"/>
      <c r="X1406" s="350"/>
      <c r="Y1406" s="350"/>
      <c r="Z1406" s="350"/>
      <c r="AA1406" s="350"/>
      <c r="AB1406" s="350"/>
      <c r="AC1406" s="350" t="s">
        <v>456</v>
      </c>
      <c r="AD1406" s="350"/>
      <c r="AE1406" s="350"/>
      <c r="AF1406" s="350"/>
      <c r="AG1406" s="350"/>
      <c r="AH1406" s="350" t="s">
        <v>433</v>
      </c>
      <c r="AI1406" s="350"/>
      <c r="AJ1406" s="350"/>
      <c r="AK1406" s="484" t="s">
        <v>447</v>
      </c>
      <c r="AL1406" s="484"/>
      <c r="AM1406" s="484"/>
      <c r="AN1406" s="352" t="s">
        <v>881</v>
      </c>
      <c r="AO1406" s="353"/>
      <c r="AP1406" s="353"/>
      <c r="AQ1406" s="353"/>
      <c r="AR1406" s="353"/>
      <c r="AS1406" s="354"/>
      <c r="AW1406" s="35"/>
      <c r="AX1406" s="35"/>
    </row>
    <row r="1407" spans="1:50" ht="12.75" x14ac:dyDescent="0.2">
      <c r="A1407" s="35"/>
      <c r="B1407" s="35"/>
      <c r="C1407" s="86"/>
      <c r="D1407" s="86"/>
      <c r="E1407" s="86"/>
      <c r="F1407" s="86"/>
      <c r="G1407" s="86"/>
      <c r="H1407" s="86"/>
      <c r="I1407" s="86"/>
      <c r="J1407" s="86"/>
      <c r="K1407" s="86"/>
      <c r="L1407" s="86"/>
      <c r="M1407" s="82"/>
      <c r="N1407" s="82"/>
      <c r="O1407" s="82"/>
      <c r="P1407" s="82"/>
      <c r="Q1407" s="82"/>
      <c r="R1407" s="82"/>
      <c r="S1407" s="82"/>
      <c r="T1407" s="82"/>
      <c r="U1407" s="82"/>
      <c r="V1407" s="82"/>
      <c r="W1407" s="82"/>
      <c r="X1407" s="82"/>
      <c r="Y1407" s="82"/>
      <c r="Z1407" s="82"/>
      <c r="AA1407" s="82"/>
      <c r="AB1407" s="82"/>
      <c r="AC1407" s="82"/>
      <c r="AD1407" s="82"/>
      <c r="AE1407" s="82"/>
      <c r="AF1407" s="82"/>
      <c r="AG1407" s="82"/>
      <c r="AH1407" s="82"/>
      <c r="AI1407" s="82"/>
      <c r="AJ1407" s="82"/>
      <c r="AK1407" s="87"/>
      <c r="AL1407" s="87"/>
      <c r="AM1407" s="87"/>
      <c r="AN1407" s="88"/>
      <c r="AO1407" s="88"/>
      <c r="AP1407" s="88"/>
      <c r="AQ1407" s="88"/>
      <c r="AR1407" s="88"/>
      <c r="AS1407" s="88"/>
      <c r="AW1407" s="35"/>
      <c r="AX1407" s="35"/>
    </row>
    <row r="1408" spans="1:50" ht="12.75" x14ac:dyDescent="0.2">
      <c r="A1408" s="35"/>
      <c r="B1408" s="35"/>
      <c r="C1408" s="86"/>
      <c r="D1408" s="86"/>
      <c r="E1408" s="86"/>
      <c r="F1408" s="86"/>
      <c r="G1408" s="86"/>
      <c r="H1408" s="86"/>
      <c r="I1408" s="86"/>
      <c r="J1408" s="86"/>
      <c r="K1408" s="86"/>
      <c r="L1408" s="86"/>
      <c r="M1408" s="82"/>
      <c r="N1408" s="82"/>
      <c r="O1408" s="82"/>
      <c r="P1408" s="82"/>
      <c r="Q1408" s="82"/>
      <c r="R1408" s="82"/>
      <c r="S1408" s="82"/>
      <c r="T1408" s="82"/>
      <c r="U1408" s="82"/>
      <c r="V1408" s="82"/>
      <c r="W1408" s="82"/>
      <c r="X1408" s="82"/>
      <c r="Y1408" s="82"/>
      <c r="Z1408" s="82"/>
      <c r="AA1408" s="82"/>
      <c r="AB1408" s="82"/>
      <c r="AC1408" s="82"/>
      <c r="AD1408" s="82"/>
      <c r="AE1408" s="82"/>
      <c r="AF1408" s="82"/>
      <c r="AG1408" s="82"/>
      <c r="AH1408" s="82"/>
      <c r="AI1408" s="82"/>
      <c r="AJ1408" s="82"/>
      <c r="AK1408" s="87"/>
      <c r="AL1408" s="87"/>
      <c r="AM1408" s="87"/>
      <c r="AN1408" s="88"/>
      <c r="AO1408" s="88"/>
      <c r="AP1408" s="88"/>
      <c r="AQ1408" s="88"/>
      <c r="AR1408" s="88"/>
      <c r="AS1408" s="88"/>
      <c r="AW1408" s="35"/>
      <c r="AX1408" s="35"/>
    </row>
    <row r="1409" spans="1:50" ht="12.75" x14ac:dyDescent="0.2">
      <c r="A1409" s="35"/>
      <c r="B1409" s="35"/>
      <c r="C1409" s="372" t="s">
        <v>722</v>
      </c>
      <c r="D1409" s="373"/>
      <c r="E1409" s="373"/>
      <c r="F1409" s="373"/>
      <c r="G1409" s="373"/>
      <c r="H1409" s="373"/>
      <c r="I1409" s="373"/>
      <c r="J1409" s="373"/>
      <c r="K1409" s="373"/>
      <c r="L1409" s="373"/>
      <c r="M1409" s="373"/>
      <c r="N1409" s="373"/>
      <c r="O1409" s="373"/>
      <c r="P1409" s="373"/>
      <c r="Q1409" s="373"/>
      <c r="R1409" s="373"/>
      <c r="S1409" s="373"/>
      <c r="T1409" s="373"/>
      <c r="U1409" s="373"/>
      <c r="V1409" s="373"/>
      <c r="W1409" s="373"/>
      <c r="X1409" s="373"/>
      <c r="Y1409" s="373"/>
      <c r="Z1409" s="373"/>
      <c r="AA1409" s="373"/>
      <c r="AB1409" s="373"/>
      <c r="AC1409" s="373"/>
      <c r="AD1409" s="373"/>
      <c r="AE1409" s="373"/>
      <c r="AF1409" s="373"/>
      <c r="AG1409" s="373"/>
      <c r="AH1409" s="373"/>
      <c r="AI1409" s="373"/>
      <c r="AJ1409" s="373"/>
      <c r="AK1409" s="373"/>
      <c r="AL1409" s="373"/>
      <c r="AM1409" s="373"/>
      <c r="AN1409" s="373"/>
      <c r="AO1409" s="373"/>
      <c r="AP1409" s="373"/>
      <c r="AQ1409" s="373"/>
      <c r="AR1409" s="373"/>
      <c r="AS1409" s="374"/>
      <c r="AW1409" s="35"/>
      <c r="AX1409" s="35"/>
    </row>
    <row r="1410" spans="1:50" ht="12.75" x14ac:dyDescent="0.2">
      <c r="A1410" s="35"/>
      <c r="B1410" s="35"/>
      <c r="C1410" s="481" t="s">
        <v>80</v>
      </c>
      <c r="D1410" s="481"/>
      <c r="E1410" s="481"/>
      <c r="F1410" s="481"/>
      <c r="G1410" s="481"/>
      <c r="H1410" s="481"/>
      <c r="I1410" s="481"/>
      <c r="J1410" s="481"/>
      <c r="K1410" s="481"/>
      <c r="L1410" s="481"/>
      <c r="M1410" s="481" t="s">
        <v>545</v>
      </c>
      <c r="N1410" s="481"/>
      <c r="O1410" s="481"/>
      <c r="P1410" s="481"/>
      <c r="Q1410" s="481" t="s">
        <v>546</v>
      </c>
      <c r="R1410" s="481"/>
      <c r="S1410" s="481"/>
      <c r="T1410" s="481" t="s">
        <v>547</v>
      </c>
      <c r="U1410" s="481"/>
      <c r="V1410" s="481"/>
      <c r="W1410" s="481"/>
      <c r="X1410" s="481"/>
      <c r="Y1410" s="481"/>
      <c r="Z1410" s="481"/>
      <c r="AA1410" s="481"/>
      <c r="AB1410" s="481"/>
      <c r="AC1410" s="481" t="s">
        <v>548</v>
      </c>
      <c r="AD1410" s="481"/>
      <c r="AE1410" s="481"/>
      <c r="AF1410" s="481"/>
      <c r="AG1410" s="481"/>
      <c r="AH1410" s="481" t="s">
        <v>549</v>
      </c>
      <c r="AI1410" s="481"/>
      <c r="AJ1410" s="481"/>
      <c r="AK1410" s="482" t="s">
        <v>550</v>
      </c>
      <c r="AL1410" s="482"/>
      <c r="AM1410" s="482"/>
      <c r="AN1410" s="485" t="s">
        <v>945</v>
      </c>
      <c r="AO1410" s="485"/>
      <c r="AP1410" s="485"/>
      <c r="AQ1410" s="485"/>
      <c r="AR1410" s="485"/>
      <c r="AS1410" s="485"/>
      <c r="AW1410" s="35"/>
      <c r="AX1410" s="35"/>
    </row>
    <row r="1411" spans="1:50" ht="12.75" x14ac:dyDescent="0.2">
      <c r="A1411" s="35"/>
      <c r="B1411" s="35"/>
      <c r="C1411" s="475" t="s">
        <v>656</v>
      </c>
      <c r="D1411" s="476"/>
      <c r="E1411" s="476"/>
      <c r="F1411" s="476"/>
      <c r="G1411" s="476"/>
      <c r="H1411" s="476"/>
      <c r="I1411" s="476"/>
      <c r="J1411" s="476"/>
      <c r="K1411" s="476"/>
      <c r="L1411" s="477"/>
      <c r="M1411" s="356" t="s">
        <v>407</v>
      </c>
      <c r="N1411" s="356"/>
      <c r="O1411" s="356"/>
      <c r="P1411" s="356"/>
      <c r="Q1411" s="480" t="s">
        <v>653</v>
      </c>
      <c r="R1411" s="480"/>
      <c r="S1411" s="480"/>
      <c r="T1411" s="356" t="s">
        <v>457</v>
      </c>
      <c r="U1411" s="356"/>
      <c r="V1411" s="356"/>
      <c r="W1411" s="356"/>
      <c r="X1411" s="356"/>
      <c r="Y1411" s="356"/>
      <c r="Z1411" s="356"/>
      <c r="AA1411" s="356"/>
      <c r="AB1411" s="356"/>
      <c r="AC1411" s="356" t="s">
        <v>455</v>
      </c>
      <c r="AD1411" s="356"/>
      <c r="AE1411" s="356"/>
      <c r="AF1411" s="356"/>
      <c r="AG1411" s="356"/>
      <c r="AH1411" s="356" t="s">
        <v>425</v>
      </c>
      <c r="AI1411" s="356"/>
      <c r="AJ1411" s="356"/>
      <c r="AK1411" s="479" t="s">
        <v>655</v>
      </c>
      <c r="AL1411" s="479"/>
      <c r="AM1411" s="479"/>
      <c r="AN1411" s="352" t="s">
        <v>881</v>
      </c>
      <c r="AO1411" s="353"/>
      <c r="AP1411" s="353"/>
      <c r="AQ1411" s="353"/>
      <c r="AR1411" s="353"/>
      <c r="AS1411" s="354"/>
      <c r="AW1411" s="35"/>
      <c r="AX1411" s="35"/>
    </row>
    <row r="1412" spans="1:50" ht="12.75" x14ac:dyDescent="0.2">
      <c r="A1412" s="35"/>
      <c r="B1412" s="35"/>
      <c r="C1412" s="475" t="s">
        <v>657</v>
      </c>
      <c r="D1412" s="476"/>
      <c r="E1412" s="476"/>
      <c r="F1412" s="476"/>
      <c r="G1412" s="476"/>
      <c r="H1412" s="476"/>
      <c r="I1412" s="476"/>
      <c r="J1412" s="476"/>
      <c r="K1412" s="476"/>
      <c r="L1412" s="477"/>
      <c r="M1412" s="356" t="s">
        <v>407</v>
      </c>
      <c r="N1412" s="356"/>
      <c r="O1412" s="356"/>
      <c r="P1412" s="356"/>
      <c r="Q1412" s="478" t="s">
        <v>422</v>
      </c>
      <c r="R1412" s="478"/>
      <c r="S1412" s="478"/>
      <c r="T1412" s="356" t="s">
        <v>457</v>
      </c>
      <c r="U1412" s="356"/>
      <c r="V1412" s="356"/>
      <c r="W1412" s="356"/>
      <c r="X1412" s="356"/>
      <c r="Y1412" s="356"/>
      <c r="Z1412" s="356"/>
      <c r="AA1412" s="356"/>
      <c r="AB1412" s="356"/>
      <c r="AC1412" s="356" t="s">
        <v>455</v>
      </c>
      <c r="AD1412" s="356"/>
      <c r="AE1412" s="356"/>
      <c r="AF1412" s="356"/>
      <c r="AG1412" s="356"/>
      <c r="AH1412" s="356" t="s">
        <v>425</v>
      </c>
      <c r="AI1412" s="356"/>
      <c r="AJ1412" s="356"/>
      <c r="AK1412" s="479" t="s">
        <v>655</v>
      </c>
      <c r="AL1412" s="479"/>
      <c r="AM1412" s="479"/>
      <c r="AN1412" s="352" t="s">
        <v>881</v>
      </c>
      <c r="AO1412" s="353"/>
      <c r="AP1412" s="353"/>
      <c r="AQ1412" s="353"/>
      <c r="AR1412" s="353"/>
      <c r="AS1412" s="354"/>
      <c r="AW1412" s="35"/>
      <c r="AX1412" s="35"/>
    </row>
    <row r="1413" spans="1:50" ht="12.75" x14ac:dyDescent="0.2">
      <c r="A1413" s="35"/>
      <c r="B1413" s="35"/>
      <c r="C1413" s="475" t="s">
        <v>659</v>
      </c>
      <c r="D1413" s="476"/>
      <c r="E1413" s="476"/>
      <c r="F1413" s="476"/>
      <c r="G1413" s="476"/>
      <c r="H1413" s="476"/>
      <c r="I1413" s="476"/>
      <c r="J1413" s="476"/>
      <c r="K1413" s="476"/>
      <c r="L1413" s="477"/>
      <c r="M1413" s="356" t="s">
        <v>407</v>
      </c>
      <c r="N1413" s="356"/>
      <c r="O1413" s="356"/>
      <c r="P1413" s="356"/>
      <c r="Q1413" s="483" t="s">
        <v>654</v>
      </c>
      <c r="R1413" s="483"/>
      <c r="S1413" s="483"/>
      <c r="T1413" s="356" t="s">
        <v>457</v>
      </c>
      <c r="U1413" s="356"/>
      <c r="V1413" s="356"/>
      <c r="W1413" s="356"/>
      <c r="X1413" s="356"/>
      <c r="Y1413" s="356"/>
      <c r="Z1413" s="356"/>
      <c r="AA1413" s="356"/>
      <c r="AB1413" s="356"/>
      <c r="AC1413" s="356" t="s">
        <v>455</v>
      </c>
      <c r="AD1413" s="356"/>
      <c r="AE1413" s="356"/>
      <c r="AF1413" s="356"/>
      <c r="AG1413" s="356"/>
      <c r="AH1413" s="356" t="s">
        <v>425</v>
      </c>
      <c r="AI1413" s="356"/>
      <c r="AJ1413" s="356"/>
      <c r="AK1413" s="479" t="s">
        <v>655</v>
      </c>
      <c r="AL1413" s="479"/>
      <c r="AM1413" s="479"/>
      <c r="AN1413" s="352" t="s">
        <v>881</v>
      </c>
      <c r="AO1413" s="353"/>
      <c r="AP1413" s="353"/>
      <c r="AQ1413" s="353"/>
      <c r="AR1413" s="353"/>
      <c r="AS1413" s="354"/>
      <c r="AW1413" s="35"/>
      <c r="AX1413" s="35"/>
    </row>
    <row r="1414" spans="1:50" ht="12.75" x14ac:dyDescent="0.2">
      <c r="A1414" s="35"/>
      <c r="B1414" s="35"/>
      <c r="C1414" s="475" t="s">
        <v>658</v>
      </c>
      <c r="D1414" s="476"/>
      <c r="E1414" s="476"/>
      <c r="F1414" s="476"/>
      <c r="G1414" s="476"/>
      <c r="H1414" s="476"/>
      <c r="I1414" s="476"/>
      <c r="J1414" s="476"/>
      <c r="K1414" s="476"/>
      <c r="L1414" s="477"/>
      <c r="M1414" s="356" t="s">
        <v>407</v>
      </c>
      <c r="N1414" s="356"/>
      <c r="O1414" s="356"/>
      <c r="P1414" s="356"/>
      <c r="Q1414" s="483" t="s">
        <v>654</v>
      </c>
      <c r="R1414" s="483"/>
      <c r="S1414" s="483"/>
      <c r="T1414" s="356" t="s">
        <v>457</v>
      </c>
      <c r="U1414" s="356"/>
      <c r="V1414" s="356"/>
      <c r="W1414" s="356"/>
      <c r="X1414" s="356"/>
      <c r="Y1414" s="356"/>
      <c r="Z1414" s="356"/>
      <c r="AA1414" s="356"/>
      <c r="AB1414" s="356"/>
      <c r="AC1414" s="356" t="s">
        <v>455</v>
      </c>
      <c r="AD1414" s="356"/>
      <c r="AE1414" s="356"/>
      <c r="AF1414" s="356"/>
      <c r="AG1414" s="356"/>
      <c r="AH1414" s="356" t="s">
        <v>424</v>
      </c>
      <c r="AI1414" s="356"/>
      <c r="AJ1414" s="356"/>
      <c r="AK1414" s="479" t="s">
        <v>655</v>
      </c>
      <c r="AL1414" s="479"/>
      <c r="AM1414" s="479"/>
      <c r="AN1414" s="352" t="s">
        <v>881</v>
      </c>
      <c r="AO1414" s="353"/>
      <c r="AP1414" s="353"/>
      <c r="AQ1414" s="353"/>
      <c r="AR1414" s="353"/>
      <c r="AS1414" s="354"/>
      <c r="AW1414" s="35"/>
      <c r="AX1414" s="35"/>
    </row>
    <row r="1415" spans="1:50" ht="12.75" x14ac:dyDescent="0.2">
      <c r="A1415" s="35"/>
      <c r="B1415" s="35"/>
      <c r="C1415" s="475" t="s">
        <v>660</v>
      </c>
      <c r="D1415" s="476"/>
      <c r="E1415" s="476"/>
      <c r="F1415" s="476"/>
      <c r="G1415" s="476"/>
      <c r="H1415" s="476"/>
      <c r="I1415" s="476"/>
      <c r="J1415" s="476"/>
      <c r="K1415" s="476"/>
      <c r="L1415" s="477"/>
      <c r="M1415" s="356" t="s">
        <v>407</v>
      </c>
      <c r="N1415" s="356"/>
      <c r="O1415" s="356"/>
      <c r="P1415" s="356"/>
      <c r="Q1415" s="480" t="s">
        <v>653</v>
      </c>
      <c r="R1415" s="480"/>
      <c r="S1415" s="480"/>
      <c r="T1415" s="356" t="s">
        <v>457</v>
      </c>
      <c r="U1415" s="356"/>
      <c r="V1415" s="356"/>
      <c r="W1415" s="356"/>
      <c r="X1415" s="356"/>
      <c r="Y1415" s="356"/>
      <c r="Z1415" s="356"/>
      <c r="AA1415" s="356"/>
      <c r="AB1415" s="356"/>
      <c r="AC1415" s="356" t="s">
        <v>455</v>
      </c>
      <c r="AD1415" s="356"/>
      <c r="AE1415" s="356"/>
      <c r="AF1415" s="356"/>
      <c r="AG1415" s="356"/>
      <c r="AH1415" s="356" t="s">
        <v>425</v>
      </c>
      <c r="AI1415" s="356"/>
      <c r="AJ1415" s="356"/>
      <c r="AK1415" s="479" t="s">
        <v>655</v>
      </c>
      <c r="AL1415" s="479"/>
      <c r="AM1415" s="479"/>
      <c r="AN1415" s="352" t="s">
        <v>881</v>
      </c>
      <c r="AO1415" s="353"/>
      <c r="AP1415" s="353"/>
      <c r="AQ1415" s="353"/>
      <c r="AR1415" s="353"/>
      <c r="AS1415" s="354"/>
      <c r="AW1415" s="35"/>
      <c r="AX1415" s="35"/>
    </row>
    <row r="1416" spans="1:50" ht="12.75" x14ac:dyDescent="0.2">
      <c r="A1416" s="35"/>
      <c r="B1416" s="35"/>
      <c r="C1416" s="475" t="s">
        <v>670</v>
      </c>
      <c r="D1416" s="476"/>
      <c r="E1416" s="476"/>
      <c r="F1416" s="476"/>
      <c r="G1416" s="476"/>
      <c r="H1416" s="476"/>
      <c r="I1416" s="476"/>
      <c r="J1416" s="476"/>
      <c r="K1416" s="476"/>
      <c r="L1416" s="477"/>
      <c r="M1416" s="356" t="s">
        <v>408</v>
      </c>
      <c r="N1416" s="356"/>
      <c r="O1416" s="356"/>
      <c r="P1416" s="356"/>
      <c r="Q1416" s="478" t="s">
        <v>422</v>
      </c>
      <c r="R1416" s="478"/>
      <c r="S1416" s="478"/>
      <c r="T1416" s="356" t="s">
        <v>458</v>
      </c>
      <c r="U1416" s="356"/>
      <c r="V1416" s="356"/>
      <c r="W1416" s="356"/>
      <c r="X1416" s="356"/>
      <c r="Y1416" s="356"/>
      <c r="Z1416" s="356"/>
      <c r="AA1416" s="356"/>
      <c r="AB1416" s="356"/>
      <c r="AC1416" s="356" t="s">
        <v>455</v>
      </c>
      <c r="AD1416" s="356"/>
      <c r="AE1416" s="356"/>
      <c r="AF1416" s="356"/>
      <c r="AG1416" s="356"/>
      <c r="AH1416" s="356" t="s">
        <v>426</v>
      </c>
      <c r="AI1416" s="356"/>
      <c r="AJ1416" s="356"/>
      <c r="AK1416" s="479" t="s">
        <v>661</v>
      </c>
      <c r="AL1416" s="479"/>
      <c r="AM1416" s="479"/>
      <c r="AN1416" s="352" t="s">
        <v>881</v>
      </c>
      <c r="AO1416" s="353"/>
      <c r="AP1416" s="353"/>
      <c r="AQ1416" s="353"/>
      <c r="AR1416" s="353"/>
      <c r="AS1416" s="354"/>
      <c r="AW1416" s="35"/>
      <c r="AX1416" s="35"/>
    </row>
    <row r="1417" spans="1:50" ht="12.75" x14ac:dyDescent="0.2">
      <c r="A1417" s="35"/>
      <c r="B1417" s="35"/>
      <c r="C1417" s="475" t="s">
        <v>671</v>
      </c>
      <c r="D1417" s="476"/>
      <c r="E1417" s="476"/>
      <c r="F1417" s="476"/>
      <c r="G1417" s="476"/>
      <c r="H1417" s="476"/>
      <c r="I1417" s="476"/>
      <c r="J1417" s="476"/>
      <c r="K1417" s="476"/>
      <c r="L1417" s="477"/>
      <c r="M1417" s="356" t="s">
        <v>408</v>
      </c>
      <c r="N1417" s="356"/>
      <c r="O1417" s="356"/>
      <c r="P1417" s="356"/>
      <c r="Q1417" s="480" t="s">
        <v>653</v>
      </c>
      <c r="R1417" s="480"/>
      <c r="S1417" s="480"/>
      <c r="T1417" s="356" t="s">
        <v>458</v>
      </c>
      <c r="U1417" s="356"/>
      <c r="V1417" s="356"/>
      <c r="W1417" s="356"/>
      <c r="X1417" s="356"/>
      <c r="Y1417" s="356"/>
      <c r="Z1417" s="356"/>
      <c r="AA1417" s="356"/>
      <c r="AB1417" s="356"/>
      <c r="AC1417" s="356" t="s">
        <v>455</v>
      </c>
      <c r="AD1417" s="356"/>
      <c r="AE1417" s="356"/>
      <c r="AF1417" s="356"/>
      <c r="AG1417" s="356"/>
      <c r="AH1417" s="356" t="s">
        <v>426</v>
      </c>
      <c r="AI1417" s="356"/>
      <c r="AJ1417" s="356"/>
      <c r="AK1417" s="479" t="s">
        <v>661</v>
      </c>
      <c r="AL1417" s="479"/>
      <c r="AM1417" s="479"/>
      <c r="AN1417" s="352" t="s">
        <v>881</v>
      </c>
      <c r="AO1417" s="353"/>
      <c r="AP1417" s="353"/>
      <c r="AQ1417" s="353"/>
      <c r="AR1417" s="353"/>
      <c r="AS1417" s="354"/>
      <c r="AW1417" s="35"/>
      <c r="AX1417" s="35"/>
    </row>
    <row r="1418" spans="1:50" ht="12.75" x14ac:dyDescent="0.2">
      <c r="A1418" s="35"/>
      <c r="B1418" s="35"/>
      <c r="C1418" s="475" t="s">
        <v>673</v>
      </c>
      <c r="D1418" s="476"/>
      <c r="E1418" s="476"/>
      <c r="F1418" s="476"/>
      <c r="G1418" s="476"/>
      <c r="H1418" s="476"/>
      <c r="I1418" s="476"/>
      <c r="J1418" s="476"/>
      <c r="K1418" s="476"/>
      <c r="L1418" s="477"/>
      <c r="M1418" s="356" t="s">
        <v>408</v>
      </c>
      <c r="N1418" s="356"/>
      <c r="O1418" s="356"/>
      <c r="P1418" s="356"/>
      <c r="Q1418" s="480" t="s">
        <v>653</v>
      </c>
      <c r="R1418" s="480"/>
      <c r="S1418" s="480"/>
      <c r="T1418" s="356" t="s">
        <v>458</v>
      </c>
      <c r="U1418" s="356"/>
      <c r="V1418" s="356"/>
      <c r="W1418" s="356"/>
      <c r="X1418" s="356"/>
      <c r="Y1418" s="356"/>
      <c r="Z1418" s="356"/>
      <c r="AA1418" s="356"/>
      <c r="AB1418" s="356"/>
      <c r="AC1418" s="356" t="s">
        <v>455</v>
      </c>
      <c r="AD1418" s="356"/>
      <c r="AE1418" s="356"/>
      <c r="AF1418" s="356"/>
      <c r="AG1418" s="356"/>
      <c r="AH1418" s="356" t="s">
        <v>426</v>
      </c>
      <c r="AI1418" s="356"/>
      <c r="AJ1418" s="356"/>
      <c r="AK1418" s="479" t="s">
        <v>661</v>
      </c>
      <c r="AL1418" s="479"/>
      <c r="AM1418" s="479"/>
      <c r="AN1418" s="352" t="s">
        <v>881</v>
      </c>
      <c r="AO1418" s="353"/>
      <c r="AP1418" s="353"/>
      <c r="AQ1418" s="353"/>
      <c r="AR1418" s="353"/>
      <c r="AS1418" s="354"/>
      <c r="AW1418" s="35"/>
      <c r="AX1418" s="35"/>
    </row>
    <row r="1419" spans="1:50" ht="12.75" x14ac:dyDescent="0.2">
      <c r="A1419" s="35"/>
      <c r="B1419" s="35"/>
      <c r="C1419" s="475" t="s">
        <v>672</v>
      </c>
      <c r="D1419" s="476"/>
      <c r="E1419" s="476"/>
      <c r="F1419" s="476"/>
      <c r="G1419" s="476"/>
      <c r="H1419" s="476"/>
      <c r="I1419" s="476"/>
      <c r="J1419" s="476"/>
      <c r="K1419" s="476"/>
      <c r="L1419" s="477"/>
      <c r="M1419" s="356" t="s">
        <v>408</v>
      </c>
      <c r="N1419" s="356"/>
      <c r="O1419" s="356"/>
      <c r="P1419" s="356"/>
      <c r="Q1419" s="480" t="s">
        <v>653</v>
      </c>
      <c r="R1419" s="480"/>
      <c r="S1419" s="480"/>
      <c r="T1419" s="356" t="s">
        <v>458</v>
      </c>
      <c r="U1419" s="356"/>
      <c r="V1419" s="356"/>
      <c r="W1419" s="356"/>
      <c r="X1419" s="356"/>
      <c r="Y1419" s="356"/>
      <c r="Z1419" s="356"/>
      <c r="AA1419" s="356"/>
      <c r="AB1419" s="356"/>
      <c r="AC1419" s="356" t="s">
        <v>455</v>
      </c>
      <c r="AD1419" s="356"/>
      <c r="AE1419" s="356"/>
      <c r="AF1419" s="356"/>
      <c r="AG1419" s="356"/>
      <c r="AH1419" s="356" t="s">
        <v>426</v>
      </c>
      <c r="AI1419" s="356"/>
      <c r="AJ1419" s="356"/>
      <c r="AK1419" s="479" t="s">
        <v>661</v>
      </c>
      <c r="AL1419" s="479"/>
      <c r="AM1419" s="479"/>
      <c r="AN1419" s="352" t="s">
        <v>881</v>
      </c>
      <c r="AO1419" s="353"/>
      <c r="AP1419" s="353"/>
      <c r="AQ1419" s="353"/>
      <c r="AR1419" s="353"/>
      <c r="AS1419" s="354"/>
      <c r="AW1419" s="35"/>
      <c r="AX1419" s="35"/>
    </row>
    <row r="1420" spans="1:50" ht="12.75" x14ac:dyDescent="0.2">
      <c r="A1420" s="35"/>
      <c r="B1420" s="35"/>
      <c r="C1420" s="475" t="s">
        <v>674</v>
      </c>
      <c r="D1420" s="476"/>
      <c r="E1420" s="476"/>
      <c r="F1420" s="476"/>
      <c r="G1420" s="476"/>
      <c r="H1420" s="476"/>
      <c r="I1420" s="476"/>
      <c r="J1420" s="476"/>
      <c r="K1420" s="476"/>
      <c r="L1420" s="477"/>
      <c r="M1420" s="356" t="s">
        <v>409</v>
      </c>
      <c r="N1420" s="356"/>
      <c r="O1420" s="356"/>
      <c r="P1420" s="356"/>
      <c r="Q1420" s="478" t="s">
        <v>422</v>
      </c>
      <c r="R1420" s="478"/>
      <c r="S1420" s="478"/>
      <c r="T1420" s="356" t="s">
        <v>459</v>
      </c>
      <c r="U1420" s="356"/>
      <c r="V1420" s="356"/>
      <c r="W1420" s="356"/>
      <c r="X1420" s="356"/>
      <c r="Y1420" s="356"/>
      <c r="Z1420" s="356"/>
      <c r="AA1420" s="356"/>
      <c r="AB1420" s="356"/>
      <c r="AC1420" s="356" t="s">
        <v>455</v>
      </c>
      <c r="AD1420" s="356"/>
      <c r="AE1420" s="356"/>
      <c r="AF1420" s="356"/>
      <c r="AG1420" s="356"/>
      <c r="AH1420" s="356" t="s">
        <v>643</v>
      </c>
      <c r="AI1420" s="356"/>
      <c r="AJ1420" s="356"/>
      <c r="AK1420" s="479" t="s">
        <v>662</v>
      </c>
      <c r="AL1420" s="479"/>
      <c r="AM1420" s="479"/>
      <c r="AN1420" s="352" t="s">
        <v>881</v>
      </c>
      <c r="AO1420" s="353"/>
      <c r="AP1420" s="353"/>
      <c r="AQ1420" s="353"/>
      <c r="AR1420" s="353"/>
      <c r="AS1420" s="354"/>
      <c r="AW1420" s="35"/>
      <c r="AX1420" s="35"/>
    </row>
    <row r="1421" spans="1:50" ht="12.75" x14ac:dyDescent="0.2">
      <c r="A1421" s="35"/>
      <c r="B1421" s="35"/>
      <c r="C1421" s="475" t="s">
        <v>675</v>
      </c>
      <c r="D1421" s="476"/>
      <c r="E1421" s="476"/>
      <c r="F1421" s="476"/>
      <c r="G1421" s="476"/>
      <c r="H1421" s="476"/>
      <c r="I1421" s="476"/>
      <c r="J1421" s="476"/>
      <c r="K1421" s="476"/>
      <c r="L1421" s="477"/>
      <c r="M1421" s="356" t="s">
        <v>409</v>
      </c>
      <c r="N1421" s="356"/>
      <c r="O1421" s="356"/>
      <c r="P1421" s="356"/>
      <c r="Q1421" s="480" t="s">
        <v>653</v>
      </c>
      <c r="R1421" s="480"/>
      <c r="S1421" s="480"/>
      <c r="T1421" s="356" t="s">
        <v>459</v>
      </c>
      <c r="U1421" s="356"/>
      <c r="V1421" s="356"/>
      <c r="W1421" s="356"/>
      <c r="X1421" s="356"/>
      <c r="Y1421" s="356"/>
      <c r="Z1421" s="356"/>
      <c r="AA1421" s="356"/>
      <c r="AB1421" s="356"/>
      <c r="AC1421" s="356" t="s">
        <v>455</v>
      </c>
      <c r="AD1421" s="356"/>
      <c r="AE1421" s="356"/>
      <c r="AF1421" s="356"/>
      <c r="AG1421" s="356"/>
      <c r="AH1421" s="356" t="s">
        <v>643</v>
      </c>
      <c r="AI1421" s="356"/>
      <c r="AJ1421" s="356"/>
      <c r="AK1421" s="479" t="s">
        <v>662</v>
      </c>
      <c r="AL1421" s="479"/>
      <c r="AM1421" s="479"/>
      <c r="AN1421" s="352" t="s">
        <v>881</v>
      </c>
      <c r="AO1421" s="353"/>
      <c r="AP1421" s="353"/>
      <c r="AQ1421" s="353"/>
      <c r="AR1421" s="353"/>
      <c r="AS1421" s="354"/>
      <c r="AW1421" s="35"/>
      <c r="AX1421" s="35"/>
    </row>
    <row r="1422" spans="1:50" ht="12.75" x14ac:dyDescent="0.2">
      <c r="A1422" s="35"/>
      <c r="B1422" s="35"/>
      <c r="C1422" s="475" t="s">
        <v>679</v>
      </c>
      <c r="D1422" s="476"/>
      <c r="E1422" s="476"/>
      <c r="F1422" s="476"/>
      <c r="G1422" s="476"/>
      <c r="H1422" s="476"/>
      <c r="I1422" s="476"/>
      <c r="J1422" s="476"/>
      <c r="K1422" s="476"/>
      <c r="L1422" s="477"/>
      <c r="M1422" s="356" t="s">
        <v>410</v>
      </c>
      <c r="N1422" s="356"/>
      <c r="O1422" s="356"/>
      <c r="P1422" s="356"/>
      <c r="Q1422" s="478" t="s">
        <v>422</v>
      </c>
      <c r="R1422" s="478"/>
      <c r="S1422" s="478"/>
      <c r="T1422" s="356" t="s">
        <v>663</v>
      </c>
      <c r="U1422" s="356"/>
      <c r="V1422" s="356"/>
      <c r="W1422" s="356"/>
      <c r="X1422" s="356"/>
      <c r="Y1422" s="356"/>
      <c r="Z1422" s="356"/>
      <c r="AA1422" s="356"/>
      <c r="AB1422" s="356"/>
      <c r="AC1422" s="356" t="s">
        <v>455</v>
      </c>
      <c r="AD1422" s="356"/>
      <c r="AE1422" s="356"/>
      <c r="AF1422" s="356"/>
      <c r="AG1422" s="356"/>
      <c r="AH1422" s="356" t="s">
        <v>666</v>
      </c>
      <c r="AI1422" s="356"/>
      <c r="AJ1422" s="356"/>
      <c r="AK1422" s="479" t="s">
        <v>664</v>
      </c>
      <c r="AL1422" s="479"/>
      <c r="AM1422" s="479"/>
      <c r="AN1422" s="352" t="s">
        <v>881</v>
      </c>
      <c r="AO1422" s="353"/>
      <c r="AP1422" s="353"/>
      <c r="AQ1422" s="353"/>
      <c r="AR1422" s="353"/>
      <c r="AS1422" s="354"/>
      <c r="AW1422" s="35"/>
      <c r="AX1422" s="35"/>
    </row>
    <row r="1423" spans="1:50" ht="12.75" x14ac:dyDescent="0.2">
      <c r="A1423" s="35"/>
      <c r="B1423" s="35"/>
      <c r="C1423" s="475" t="s">
        <v>676</v>
      </c>
      <c r="D1423" s="476"/>
      <c r="E1423" s="476"/>
      <c r="F1423" s="476"/>
      <c r="G1423" s="476"/>
      <c r="H1423" s="476"/>
      <c r="I1423" s="476"/>
      <c r="J1423" s="476"/>
      <c r="K1423" s="476"/>
      <c r="L1423" s="477"/>
      <c r="M1423" s="356" t="s">
        <v>410</v>
      </c>
      <c r="N1423" s="356"/>
      <c r="O1423" s="356"/>
      <c r="P1423" s="356"/>
      <c r="Q1423" s="480" t="s">
        <v>653</v>
      </c>
      <c r="R1423" s="480"/>
      <c r="S1423" s="480"/>
      <c r="T1423" s="356" t="s">
        <v>663</v>
      </c>
      <c r="U1423" s="356"/>
      <c r="V1423" s="356"/>
      <c r="W1423" s="356"/>
      <c r="X1423" s="356"/>
      <c r="Y1423" s="356"/>
      <c r="Z1423" s="356"/>
      <c r="AA1423" s="356"/>
      <c r="AB1423" s="356"/>
      <c r="AC1423" s="356" t="s">
        <v>455</v>
      </c>
      <c r="AD1423" s="356"/>
      <c r="AE1423" s="356"/>
      <c r="AF1423" s="356"/>
      <c r="AG1423" s="356"/>
      <c r="AH1423" s="356" t="s">
        <v>666</v>
      </c>
      <c r="AI1423" s="356"/>
      <c r="AJ1423" s="356"/>
      <c r="AK1423" s="479" t="s">
        <v>664</v>
      </c>
      <c r="AL1423" s="479"/>
      <c r="AM1423" s="479"/>
      <c r="AN1423" s="352" t="s">
        <v>881</v>
      </c>
      <c r="AO1423" s="353"/>
      <c r="AP1423" s="353"/>
      <c r="AQ1423" s="353"/>
      <c r="AR1423" s="353"/>
      <c r="AS1423" s="354"/>
      <c r="AW1423" s="35"/>
      <c r="AX1423" s="35"/>
    </row>
    <row r="1424" spans="1:50" ht="12.75" x14ac:dyDescent="0.2">
      <c r="A1424" s="35"/>
      <c r="B1424" s="35"/>
      <c r="C1424" s="475" t="s">
        <v>680</v>
      </c>
      <c r="D1424" s="476"/>
      <c r="E1424" s="476"/>
      <c r="F1424" s="476"/>
      <c r="G1424" s="476"/>
      <c r="H1424" s="476"/>
      <c r="I1424" s="476"/>
      <c r="J1424" s="476"/>
      <c r="K1424" s="476"/>
      <c r="L1424" s="477"/>
      <c r="M1424" s="356" t="s">
        <v>411</v>
      </c>
      <c r="N1424" s="356"/>
      <c r="O1424" s="356"/>
      <c r="P1424" s="356"/>
      <c r="Q1424" s="478" t="s">
        <v>422</v>
      </c>
      <c r="R1424" s="478"/>
      <c r="S1424" s="478"/>
      <c r="T1424" s="356" t="s">
        <v>665</v>
      </c>
      <c r="U1424" s="356"/>
      <c r="V1424" s="356"/>
      <c r="W1424" s="356"/>
      <c r="X1424" s="356"/>
      <c r="Y1424" s="356"/>
      <c r="Z1424" s="356"/>
      <c r="AA1424" s="356"/>
      <c r="AB1424" s="356"/>
      <c r="AC1424" s="356" t="s">
        <v>455</v>
      </c>
      <c r="AD1424" s="356"/>
      <c r="AE1424" s="356"/>
      <c r="AF1424" s="356"/>
      <c r="AG1424" s="356"/>
      <c r="AH1424" s="356" t="s">
        <v>430</v>
      </c>
      <c r="AI1424" s="356"/>
      <c r="AJ1424" s="356"/>
      <c r="AK1424" s="479" t="s">
        <v>667</v>
      </c>
      <c r="AL1424" s="479"/>
      <c r="AM1424" s="479"/>
      <c r="AN1424" s="352" t="s">
        <v>881</v>
      </c>
      <c r="AO1424" s="353"/>
      <c r="AP1424" s="353"/>
      <c r="AQ1424" s="353"/>
      <c r="AR1424" s="353"/>
      <c r="AS1424" s="354"/>
      <c r="AW1424" s="35"/>
      <c r="AX1424" s="35"/>
    </row>
    <row r="1425" spans="1:50" ht="12.75" x14ac:dyDescent="0.2">
      <c r="A1425" s="35"/>
      <c r="B1425" s="35"/>
      <c r="C1425" s="475" t="s">
        <v>677</v>
      </c>
      <c r="D1425" s="476"/>
      <c r="E1425" s="476"/>
      <c r="F1425" s="476"/>
      <c r="G1425" s="476"/>
      <c r="H1425" s="476"/>
      <c r="I1425" s="476"/>
      <c r="J1425" s="476"/>
      <c r="K1425" s="476"/>
      <c r="L1425" s="477"/>
      <c r="M1425" s="356" t="s">
        <v>411</v>
      </c>
      <c r="N1425" s="356"/>
      <c r="O1425" s="356"/>
      <c r="P1425" s="356"/>
      <c r="Q1425" s="480" t="s">
        <v>653</v>
      </c>
      <c r="R1425" s="480"/>
      <c r="S1425" s="480"/>
      <c r="T1425" s="356" t="s">
        <v>665</v>
      </c>
      <c r="U1425" s="356"/>
      <c r="V1425" s="356"/>
      <c r="W1425" s="356"/>
      <c r="X1425" s="356"/>
      <c r="Y1425" s="356"/>
      <c r="Z1425" s="356"/>
      <c r="AA1425" s="356"/>
      <c r="AB1425" s="356"/>
      <c r="AC1425" s="356" t="s">
        <v>455</v>
      </c>
      <c r="AD1425" s="356"/>
      <c r="AE1425" s="356"/>
      <c r="AF1425" s="356"/>
      <c r="AG1425" s="356"/>
      <c r="AH1425" s="356" t="s">
        <v>430</v>
      </c>
      <c r="AI1425" s="356"/>
      <c r="AJ1425" s="356"/>
      <c r="AK1425" s="479" t="s">
        <v>667</v>
      </c>
      <c r="AL1425" s="479"/>
      <c r="AM1425" s="479"/>
      <c r="AN1425" s="352" t="s">
        <v>881</v>
      </c>
      <c r="AO1425" s="353"/>
      <c r="AP1425" s="353"/>
      <c r="AQ1425" s="353"/>
      <c r="AR1425" s="353"/>
      <c r="AS1425" s="354"/>
      <c r="AW1425" s="35"/>
      <c r="AX1425" s="35"/>
    </row>
    <row r="1426" spans="1:50" ht="12.75" x14ac:dyDescent="0.2">
      <c r="A1426" s="35"/>
      <c r="B1426" s="35"/>
      <c r="C1426" s="475" t="s">
        <v>681</v>
      </c>
      <c r="D1426" s="476"/>
      <c r="E1426" s="476"/>
      <c r="F1426" s="476"/>
      <c r="G1426" s="476"/>
      <c r="H1426" s="476"/>
      <c r="I1426" s="476"/>
      <c r="J1426" s="476"/>
      <c r="K1426" s="476"/>
      <c r="L1426" s="477"/>
      <c r="M1426" s="356" t="s">
        <v>412</v>
      </c>
      <c r="N1426" s="356"/>
      <c r="O1426" s="356"/>
      <c r="P1426" s="356"/>
      <c r="Q1426" s="478" t="s">
        <v>422</v>
      </c>
      <c r="R1426" s="478"/>
      <c r="S1426" s="478"/>
      <c r="T1426" s="356" t="s">
        <v>668</v>
      </c>
      <c r="U1426" s="356"/>
      <c r="V1426" s="356"/>
      <c r="W1426" s="356"/>
      <c r="X1426" s="356"/>
      <c r="Y1426" s="356"/>
      <c r="Z1426" s="356"/>
      <c r="AA1426" s="356"/>
      <c r="AB1426" s="356"/>
      <c r="AC1426" s="356" t="s">
        <v>455</v>
      </c>
      <c r="AD1426" s="356"/>
      <c r="AE1426" s="356"/>
      <c r="AF1426" s="356"/>
      <c r="AG1426" s="356"/>
      <c r="AH1426" s="356" t="s">
        <v>669</v>
      </c>
      <c r="AI1426" s="356"/>
      <c r="AJ1426" s="356"/>
      <c r="AK1426" s="479" t="s">
        <v>667</v>
      </c>
      <c r="AL1426" s="479"/>
      <c r="AM1426" s="479"/>
      <c r="AN1426" s="352" t="s">
        <v>881</v>
      </c>
      <c r="AO1426" s="353"/>
      <c r="AP1426" s="353"/>
      <c r="AQ1426" s="353"/>
      <c r="AR1426" s="353"/>
      <c r="AS1426" s="354"/>
      <c r="AW1426" s="35"/>
      <c r="AX1426" s="35"/>
    </row>
    <row r="1427" spans="1:50" ht="12.75" x14ac:dyDescent="0.2">
      <c r="A1427" s="35"/>
      <c r="B1427" s="35"/>
      <c r="C1427" s="475" t="s">
        <v>678</v>
      </c>
      <c r="D1427" s="476"/>
      <c r="E1427" s="476"/>
      <c r="F1427" s="476"/>
      <c r="G1427" s="476"/>
      <c r="H1427" s="476"/>
      <c r="I1427" s="476"/>
      <c r="J1427" s="476"/>
      <c r="K1427" s="476"/>
      <c r="L1427" s="477"/>
      <c r="M1427" s="356" t="s">
        <v>412</v>
      </c>
      <c r="N1427" s="356"/>
      <c r="O1427" s="356"/>
      <c r="P1427" s="356"/>
      <c r="Q1427" s="480" t="s">
        <v>653</v>
      </c>
      <c r="R1427" s="480"/>
      <c r="S1427" s="480"/>
      <c r="T1427" s="356" t="s">
        <v>668</v>
      </c>
      <c r="U1427" s="356"/>
      <c r="V1427" s="356"/>
      <c r="W1427" s="356"/>
      <c r="X1427" s="356"/>
      <c r="Y1427" s="356"/>
      <c r="Z1427" s="356"/>
      <c r="AA1427" s="356"/>
      <c r="AB1427" s="356"/>
      <c r="AC1427" s="356" t="s">
        <v>455</v>
      </c>
      <c r="AD1427" s="356"/>
      <c r="AE1427" s="356"/>
      <c r="AF1427" s="356"/>
      <c r="AG1427" s="356"/>
      <c r="AH1427" s="356" t="s">
        <v>669</v>
      </c>
      <c r="AI1427" s="356"/>
      <c r="AJ1427" s="356"/>
      <c r="AK1427" s="479" t="s">
        <v>667</v>
      </c>
      <c r="AL1427" s="479"/>
      <c r="AM1427" s="479"/>
      <c r="AN1427" s="352" t="s">
        <v>881</v>
      </c>
      <c r="AO1427" s="353"/>
      <c r="AP1427" s="353"/>
      <c r="AQ1427" s="353"/>
      <c r="AR1427" s="353"/>
      <c r="AS1427" s="354"/>
      <c r="AW1427" s="35"/>
      <c r="AX1427" s="35"/>
    </row>
    <row r="1428" spans="1:50" ht="12.75" x14ac:dyDescent="0.2">
      <c r="A1428" s="35"/>
      <c r="B1428" s="35"/>
      <c r="C1428" s="86"/>
      <c r="D1428" s="86"/>
      <c r="E1428" s="86"/>
      <c r="F1428" s="86"/>
      <c r="G1428" s="86"/>
      <c r="H1428" s="86"/>
      <c r="I1428" s="86"/>
      <c r="J1428" s="86"/>
      <c r="K1428" s="86"/>
      <c r="L1428" s="86"/>
      <c r="M1428" s="82"/>
      <c r="N1428" s="82"/>
      <c r="O1428" s="82"/>
      <c r="P1428" s="82"/>
      <c r="Q1428" s="82"/>
      <c r="R1428" s="82"/>
      <c r="S1428" s="82"/>
      <c r="T1428" s="82"/>
      <c r="U1428" s="82"/>
      <c r="V1428" s="82"/>
      <c r="W1428" s="82"/>
      <c r="X1428" s="82"/>
      <c r="Y1428" s="82"/>
      <c r="Z1428" s="82"/>
      <c r="AA1428" s="82"/>
      <c r="AB1428" s="82"/>
      <c r="AC1428" s="82"/>
      <c r="AD1428" s="82"/>
      <c r="AE1428" s="82"/>
      <c r="AF1428" s="82"/>
      <c r="AG1428" s="82"/>
      <c r="AH1428" s="82"/>
      <c r="AI1428" s="82"/>
      <c r="AJ1428" s="82"/>
      <c r="AK1428" s="87"/>
      <c r="AL1428" s="87"/>
      <c r="AM1428" s="87"/>
      <c r="AN1428" s="88"/>
      <c r="AO1428" s="88"/>
      <c r="AP1428" s="88"/>
      <c r="AQ1428" s="88"/>
      <c r="AR1428" s="88"/>
      <c r="AS1428" s="88"/>
      <c r="AW1428" s="35"/>
      <c r="AX1428" s="35"/>
    </row>
    <row r="1429" spans="1:50" x14ac:dyDescent="0.25">
      <c r="A1429" s="81"/>
      <c r="B1429" s="81"/>
      <c r="AW1429" s="35"/>
      <c r="AX1429" s="35"/>
    </row>
    <row r="1430" spans="1:50" ht="12.75" x14ac:dyDescent="0.2">
      <c r="A1430" s="30"/>
      <c r="B1430" s="30"/>
      <c r="D1430" s="71"/>
      <c r="E1430" s="71"/>
      <c r="F1430" s="71"/>
      <c r="G1430" s="71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53"/>
      <c r="T1430" s="71"/>
      <c r="U1430" s="71"/>
      <c r="V1430" s="53"/>
      <c r="W1430" s="71"/>
      <c r="X1430" s="71"/>
      <c r="Y1430" s="53"/>
      <c r="Z1430" s="71"/>
      <c r="AA1430" s="71"/>
      <c r="AB1430" s="53"/>
      <c r="AC1430" s="71"/>
      <c r="AD1430" s="71"/>
      <c r="AE1430" s="53"/>
      <c r="AF1430" s="71"/>
      <c r="AG1430" s="71"/>
      <c r="AH1430" s="53"/>
      <c r="AI1430" s="71"/>
      <c r="AJ1430" s="71"/>
      <c r="AK1430" s="53"/>
      <c r="AL1430" s="71"/>
      <c r="AM1430" s="71"/>
      <c r="AN1430" s="53"/>
      <c r="AO1430" s="71"/>
      <c r="AP1430" s="71"/>
      <c r="AQ1430" s="53"/>
      <c r="AR1430" s="71"/>
      <c r="AS1430" s="71"/>
      <c r="AW1430" s="35"/>
      <c r="AX1430" s="35"/>
    </row>
    <row r="1431" spans="1:50" s="35" customFormat="1" ht="15.75" x14ac:dyDescent="0.25">
      <c r="A1431" s="26"/>
      <c r="B1431" s="26"/>
      <c r="C1431" s="406" t="s">
        <v>594</v>
      </c>
      <c r="D1431" s="406"/>
      <c r="E1431" s="406"/>
      <c r="F1431" s="406"/>
      <c r="G1431" s="406"/>
      <c r="H1431" s="406"/>
      <c r="I1431" s="406"/>
      <c r="J1431" s="406"/>
      <c r="K1431" s="406"/>
      <c r="L1431" s="406"/>
      <c r="M1431" s="406"/>
      <c r="N1431" s="406"/>
      <c r="O1431" s="406"/>
      <c r="P1431" s="406"/>
      <c r="Q1431" s="406"/>
      <c r="R1431" s="406"/>
      <c r="S1431" s="406"/>
      <c r="T1431" s="406"/>
      <c r="U1431" s="406"/>
      <c r="V1431" s="406"/>
      <c r="W1431" s="406"/>
      <c r="X1431" s="406"/>
      <c r="Y1431" s="406"/>
      <c r="Z1431" s="406"/>
      <c r="AA1431" s="406"/>
      <c r="AB1431" s="406"/>
      <c r="AC1431" s="406"/>
      <c r="AD1431" s="406"/>
      <c r="AE1431" s="406"/>
      <c r="AF1431" s="406"/>
      <c r="AG1431" s="406"/>
      <c r="AH1431" s="406"/>
      <c r="AI1431" s="406"/>
      <c r="AJ1431" s="406"/>
      <c r="AK1431" s="406"/>
      <c r="AL1431" s="406"/>
      <c r="AM1431" s="406"/>
      <c r="AN1431" s="406"/>
      <c r="AO1431" s="406"/>
      <c r="AP1431" s="406"/>
      <c r="AQ1431" s="406"/>
      <c r="AR1431" s="406"/>
      <c r="AS1431" s="406"/>
    </row>
    <row r="1432" spans="1:50" x14ac:dyDescent="0.25">
      <c r="C1432" s="52"/>
      <c r="D1432" s="52"/>
      <c r="E1432" s="52"/>
      <c r="F1432" s="52"/>
      <c r="G1432" s="52"/>
      <c r="H1432" s="52"/>
      <c r="I1432" s="52"/>
      <c r="J1432" s="52"/>
      <c r="K1432" s="52"/>
      <c r="L1432" s="52"/>
      <c r="M1432" s="52"/>
      <c r="N1432" s="52"/>
      <c r="O1432" s="52"/>
      <c r="P1432" s="52"/>
      <c r="Q1432" s="52"/>
      <c r="R1432" s="52"/>
      <c r="S1432" s="53"/>
      <c r="T1432" s="52"/>
      <c r="U1432" s="52"/>
      <c r="V1432" s="53"/>
      <c r="W1432" s="52"/>
      <c r="X1432" s="52"/>
      <c r="Y1432" s="53"/>
      <c r="Z1432" s="52"/>
      <c r="AA1432" s="52"/>
      <c r="AB1432" s="53"/>
      <c r="AC1432" s="52"/>
      <c r="AD1432" s="52"/>
      <c r="AE1432" s="53"/>
      <c r="AF1432" s="52"/>
      <c r="AG1432" s="52"/>
      <c r="AH1432" s="53"/>
      <c r="AI1432" s="52"/>
      <c r="AJ1432" s="52"/>
      <c r="AK1432" s="53"/>
      <c r="AL1432" s="52"/>
      <c r="AM1432" s="52"/>
      <c r="AN1432" s="53"/>
      <c r="AO1432" s="52"/>
      <c r="AP1432" s="52"/>
      <c r="AQ1432" s="53"/>
      <c r="AR1432" s="52"/>
      <c r="AS1432" s="52"/>
      <c r="AW1432" s="35"/>
      <c r="AX1432" s="35"/>
    </row>
    <row r="1433" spans="1:50" s="57" customFormat="1" ht="15.75" x14ac:dyDescent="0.25">
      <c r="A1433" s="56"/>
      <c r="B1433" s="56"/>
      <c r="C1433" s="42" t="s">
        <v>377</v>
      </c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</row>
    <row r="1434" spans="1:50" x14ac:dyDescent="0.25">
      <c r="A1434" s="59"/>
      <c r="B1434" s="59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  <c r="AL1434" s="54"/>
      <c r="AM1434" s="54"/>
      <c r="AN1434" s="55"/>
      <c r="AO1434" s="55"/>
      <c r="AP1434" s="55"/>
      <c r="AQ1434" s="55"/>
      <c r="AR1434" s="55"/>
      <c r="AS1434" s="55"/>
      <c r="AW1434" s="35"/>
      <c r="AX1434" s="35"/>
    </row>
    <row r="1435" spans="1:50" x14ac:dyDescent="0.25">
      <c r="C1435" s="632" t="s">
        <v>371</v>
      </c>
      <c r="D1435" s="633"/>
      <c r="E1435" s="633"/>
      <c r="F1435" s="633"/>
      <c r="G1435" s="633"/>
      <c r="H1435" s="633"/>
      <c r="I1435" s="633"/>
      <c r="J1435" s="633"/>
      <c r="K1435" s="633"/>
      <c r="L1435" s="633"/>
      <c r="M1435" s="633"/>
      <c r="N1435" s="633"/>
      <c r="O1435" s="633"/>
      <c r="P1435" s="633"/>
      <c r="Q1435" s="633"/>
      <c r="R1435" s="633"/>
      <c r="S1435" s="633"/>
      <c r="T1435" s="633"/>
      <c r="U1435" s="633"/>
      <c r="V1435" s="633"/>
      <c r="W1435" s="633"/>
      <c r="X1435" s="633"/>
      <c r="Y1435" s="633"/>
      <c r="Z1435" s="633"/>
      <c r="AA1435" s="633"/>
      <c r="AB1435" s="633"/>
      <c r="AC1435" s="633"/>
      <c r="AD1435" s="633"/>
      <c r="AE1435" s="633"/>
      <c r="AF1435" s="633"/>
      <c r="AG1435" s="633"/>
      <c r="AH1435" s="633"/>
      <c r="AI1435" s="633"/>
      <c r="AJ1435" s="633"/>
      <c r="AK1435" s="633"/>
      <c r="AL1435" s="633"/>
      <c r="AM1435" s="633"/>
      <c r="AN1435" s="633"/>
      <c r="AO1435" s="633"/>
      <c r="AP1435" s="633"/>
      <c r="AQ1435" s="633"/>
      <c r="AR1435" s="633"/>
      <c r="AS1435" s="633"/>
      <c r="AT1435" s="633"/>
      <c r="AU1435" s="634"/>
      <c r="AW1435" s="35"/>
      <c r="AX1435" s="35"/>
    </row>
    <row r="1436" spans="1:50" x14ac:dyDescent="0.25">
      <c r="C1436" s="629" t="s">
        <v>80</v>
      </c>
      <c r="D1436" s="629"/>
      <c r="E1436" s="629"/>
      <c r="F1436" s="629"/>
      <c r="G1436" s="629"/>
      <c r="H1436" s="629"/>
      <c r="I1436" s="629"/>
      <c r="J1436" s="629"/>
      <c r="K1436" s="629"/>
      <c r="L1436" s="629"/>
      <c r="M1436" s="629" t="s">
        <v>161</v>
      </c>
      <c r="N1436" s="629"/>
      <c r="O1436" s="629"/>
      <c r="P1436" s="629"/>
      <c r="Q1436" s="629"/>
      <c r="R1436" s="629"/>
      <c r="S1436" s="629"/>
      <c r="T1436" s="629"/>
      <c r="U1436" s="629"/>
      <c r="V1436" s="629"/>
      <c r="W1436" s="629"/>
      <c r="X1436" s="629"/>
      <c r="Y1436" s="629"/>
      <c r="Z1436" s="629"/>
      <c r="AA1436" s="629"/>
      <c r="AB1436" s="629"/>
      <c r="AC1436" s="629"/>
      <c r="AD1436" s="629"/>
      <c r="AE1436" s="629" t="s">
        <v>549</v>
      </c>
      <c r="AF1436" s="629"/>
      <c r="AG1436" s="629"/>
      <c r="AH1436" s="629"/>
      <c r="AI1436" s="629"/>
      <c r="AJ1436" s="629"/>
      <c r="AK1436" s="629"/>
      <c r="AL1436" s="629"/>
      <c r="AM1436" s="629"/>
      <c r="AN1436" s="485" t="s">
        <v>907</v>
      </c>
      <c r="AO1436" s="485"/>
      <c r="AP1436" s="485"/>
      <c r="AQ1436" s="485"/>
      <c r="AR1436" s="485"/>
      <c r="AS1436" s="485"/>
      <c r="AT1436" s="45"/>
      <c r="AU1436" s="45"/>
      <c r="AW1436" s="35"/>
      <c r="AX1436" s="35"/>
    </row>
    <row r="1437" spans="1:50" ht="12.75" x14ac:dyDescent="0.2">
      <c r="A1437" s="30"/>
      <c r="B1437" s="30"/>
      <c r="C1437" s="630" t="s">
        <v>311</v>
      </c>
      <c r="D1437" s="630"/>
      <c r="E1437" s="630"/>
      <c r="F1437" s="630"/>
      <c r="G1437" s="630"/>
      <c r="H1437" s="630"/>
      <c r="I1437" s="630"/>
      <c r="J1437" s="630"/>
      <c r="K1437" s="630"/>
      <c r="L1437" s="630"/>
      <c r="M1437" s="630" t="s">
        <v>315</v>
      </c>
      <c r="N1437" s="630"/>
      <c r="O1437" s="630"/>
      <c r="P1437" s="630"/>
      <c r="Q1437" s="630"/>
      <c r="R1437" s="630"/>
      <c r="S1437" s="630"/>
      <c r="T1437" s="630"/>
      <c r="U1437" s="630"/>
      <c r="V1437" s="630"/>
      <c r="W1437" s="630"/>
      <c r="X1437" s="630"/>
      <c r="Y1437" s="630"/>
      <c r="Z1437" s="630"/>
      <c r="AA1437" s="630"/>
      <c r="AB1437" s="630"/>
      <c r="AC1437" s="630"/>
      <c r="AD1437" s="630"/>
      <c r="AE1437" s="631" t="s">
        <v>319</v>
      </c>
      <c r="AF1437" s="631"/>
      <c r="AG1437" s="631"/>
      <c r="AH1437" s="631"/>
      <c r="AI1437" s="631"/>
      <c r="AJ1437" s="631"/>
      <c r="AK1437" s="631"/>
      <c r="AL1437" s="631"/>
      <c r="AM1437" s="631"/>
      <c r="AN1437" s="352" t="s">
        <v>881</v>
      </c>
      <c r="AO1437" s="353"/>
      <c r="AP1437" s="353"/>
      <c r="AQ1437" s="353"/>
      <c r="AR1437" s="353"/>
      <c r="AS1437" s="354"/>
      <c r="AT1437" s="45"/>
      <c r="AU1437" s="45"/>
      <c r="AW1437" s="35"/>
      <c r="AX1437" s="35"/>
    </row>
    <row r="1438" spans="1:50" ht="12.75" x14ac:dyDescent="0.2">
      <c r="A1438" s="30"/>
      <c r="B1438" s="30"/>
      <c r="C1438" s="630"/>
      <c r="D1438" s="630"/>
      <c r="E1438" s="630"/>
      <c r="F1438" s="630"/>
      <c r="G1438" s="630"/>
      <c r="H1438" s="630"/>
      <c r="I1438" s="630"/>
      <c r="J1438" s="630"/>
      <c r="K1438" s="630"/>
      <c r="L1438" s="630"/>
      <c r="M1438" s="630"/>
      <c r="N1438" s="630"/>
      <c r="O1438" s="630"/>
      <c r="P1438" s="630"/>
      <c r="Q1438" s="630"/>
      <c r="R1438" s="630"/>
      <c r="S1438" s="630"/>
      <c r="T1438" s="630"/>
      <c r="U1438" s="630"/>
      <c r="V1438" s="630"/>
      <c r="W1438" s="630"/>
      <c r="X1438" s="630"/>
      <c r="Y1438" s="630"/>
      <c r="Z1438" s="630"/>
      <c r="AA1438" s="630"/>
      <c r="AB1438" s="630"/>
      <c r="AC1438" s="630"/>
      <c r="AD1438" s="630"/>
      <c r="AE1438" s="631" t="s">
        <v>320</v>
      </c>
      <c r="AF1438" s="631"/>
      <c r="AG1438" s="631"/>
      <c r="AH1438" s="631"/>
      <c r="AI1438" s="631"/>
      <c r="AJ1438" s="631"/>
      <c r="AK1438" s="631"/>
      <c r="AL1438" s="631"/>
      <c r="AM1438" s="631"/>
      <c r="AN1438" s="352" t="s">
        <v>881</v>
      </c>
      <c r="AO1438" s="353"/>
      <c r="AP1438" s="353"/>
      <c r="AQ1438" s="353"/>
      <c r="AR1438" s="353"/>
      <c r="AS1438" s="354"/>
      <c r="AT1438" s="45"/>
      <c r="AU1438" s="45"/>
      <c r="AW1438" s="35"/>
      <c r="AX1438" s="35"/>
    </row>
    <row r="1439" spans="1:50" ht="12.75" customHeight="1" x14ac:dyDescent="0.2">
      <c r="A1439" s="30"/>
      <c r="B1439" s="30"/>
      <c r="C1439" s="630"/>
      <c r="D1439" s="630"/>
      <c r="E1439" s="630"/>
      <c r="F1439" s="630"/>
      <c r="G1439" s="630"/>
      <c r="H1439" s="630"/>
      <c r="I1439" s="630"/>
      <c r="J1439" s="630"/>
      <c r="K1439" s="630"/>
      <c r="L1439" s="630"/>
      <c r="M1439" s="630"/>
      <c r="N1439" s="630"/>
      <c r="O1439" s="630"/>
      <c r="P1439" s="630"/>
      <c r="Q1439" s="630"/>
      <c r="R1439" s="630"/>
      <c r="S1439" s="630"/>
      <c r="T1439" s="630"/>
      <c r="U1439" s="630"/>
      <c r="V1439" s="630"/>
      <c r="W1439" s="630"/>
      <c r="X1439" s="630"/>
      <c r="Y1439" s="630"/>
      <c r="Z1439" s="630"/>
      <c r="AA1439" s="630"/>
      <c r="AB1439" s="630"/>
      <c r="AC1439" s="630"/>
      <c r="AD1439" s="630"/>
      <c r="AE1439" s="631" t="s">
        <v>321</v>
      </c>
      <c r="AF1439" s="631"/>
      <c r="AG1439" s="631"/>
      <c r="AH1439" s="631"/>
      <c r="AI1439" s="631"/>
      <c r="AJ1439" s="631"/>
      <c r="AK1439" s="631"/>
      <c r="AL1439" s="631"/>
      <c r="AM1439" s="631"/>
      <c r="AN1439" s="352" t="s">
        <v>881</v>
      </c>
      <c r="AO1439" s="353"/>
      <c r="AP1439" s="353"/>
      <c r="AQ1439" s="353"/>
      <c r="AR1439" s="353"/>
      <c r="AS1439" s="354"/>
      <c r="AT1439" s="45"/>
      <c r="AU1439" s="45"/>
      <c r="AW1439" s="35"/>
      <c r="AX1439" s="35"/>
    </row>
    <row r="1440" spans="1:50" ht="12.75" x14ac:dyDescent="0.2">
      <c r="A1440" s="30"/>
      <c r="B1440" s="30"/>
      <c r="C1440" s="630" t="s">
        <v>312</v>
      </c>
      <c r="D1440" s="630"/>
      <c r="E1440" s="630"/>
      <c r="F1440" s="630"/>
      <c r="G1440" s="630"/>
      <c r="H1440" s="630"/>
      <c r="I1440" s="630"/>
      <c r="J1440" s="630"/>
      <c r="K1440" s="630"/>
      <c r="L1440" s="630"/>
      <c r="M1440" s="630" t="s">
        <v>316</v>
      </c>
      <c r="N1440" s="630"/>
      <c r="O1440" s="630"/>
      <c r="P1440" s="630"/>
      <c r="Q1440" s="630"/>
      <c r="R1440" s="630"/>
      <c r="S1440" s="630"/>
      <c r="T1440" s="630"/>
      <c r="U1440" s="630"/>
      <c r="V1440" s="630"/>
      <c r="W1440" s="630"/>
      <c r="X1440" s="630"/>
      <c r="Y1440" s="630"/>
      <c r="Z1440" s="630"/>
      <c r="AA1440" s="630"/>
      <c r="AB1440" s="630"/>
      <c r="AC1440" s="630"/>
      <c r="AD1440" s="630"/>
      <c r="AE1440" s="631" t="s">
        <v>322</v>
      </c>
      <c r="AF1440" s="631"/>
      <c r="AG1440" s="631"/>
      <c r="AH1440" s="631"/>
      <c r="AI1440" s="631"/>
      <c r="AJ1440" s="631"/>
      <c r="AK1440" s="631"/>
      <c r="AL1440" s="631"/>
      <c r="AM1440" s="631"/>
      <c r="AN1440" s="352" t="s">
        <v>881</v>
      </c>
      <c r="AO1440" s="353"/>
      <c r="AP1440" s="353"/>
      <c r="AQ1440" s="353"/>
      <c r="AR1440" s="353"/>
      <c r="AS1440" s="354"/>
      <c r="AT1440" s="45"/>
      <c r="AU1440" s="45"/>
      <c r="AW1440" s="35"/>
      <c r="AX1440" s="35"/>
    </row>
    <row r="1441" spans="1:50" ht="12.75" x14ac:dyDescent="0.2">
      <c r="A1441" s="30"/>
      <c r="B1441" s="30"/>
      <c r="C1441" s="630"/>
      <c r="D1441" s="630"/>
      <c r="E1441" s="630"/>
      <c r="F1441" s="630"/>
      <c r="G1441" s="630"/>
      <c r="H1441" s="630"/>
      <c r="I1441" s="630"/>
      <c r="J1441" s="630"/>
      <c r="K1441" s="630"/>
      <c r="L1441" s="630"/>
      <c r="M1441" s="630"/>
      <c r="N1441" s="630"/>
      <c r="O1441" s="630"/>
      <c r="P1441" s="630"/>
      <c r="Q1441" s="630"/>
      <c r="R1441" s="630"/>
      <c r="S1441" s="630"/>
      <c r="T1441" s="630"/>
      <c r="U1441" s="630"/>
      <c r="V1441" s="630"/>
      <c r="W1441" s="630"/>
      <c r="X1441" s="630"/>
      <c r="Y1441" s="630"/>
      <c r="Z1441" s="630"/>
      <c r="AA1441" s="630"/>
      <c r="AB1441" s="630"/>
      <c r="AC1441" s="630"/>
      <c r="AD1441" s="630"/>
      <c r="AE1441" s="631" t="s">
        <v>323</v>
      </c>
      <c r="AF1441" s="631"/>
      <c r="AG1441" s="631"/>
      <c r="AH1441" s="631"/>
      <c r="AI1441" s="631"/>
      <c r="AJ1441" s="631"/>
      <c r="AK1441" s="631"/>
      <c r="AL1441" s="631"/>
      <c r="AM1441" s="631"/>
      <c r="AN1441" s="352" t="s">
        <v>881</v>
      </c>
      <c r="AO1441" s="353"/>
      <c r="AP1441" s="353"/>
      <c r="AQ1441" s="353"/>
      <c r="AR1441" s="353"/>
      <c r="AS1441" s="354"/>
      <c r="AT1441" s="45"/>
      <c r="AU1441" s="45"/>
      <c r="AW1441" s="35"/>
      <c r="AX1441" s="35"/>
    </row>
    <row r="1442" spans="1:50" ht="12.75" customHeight="1" x14ac:dyDescent="0.2">
      <c r="A1442" s="30"/>
      <c r="B1442" s="30"/>
      <c r="C1442" s="630"/>
      <c r="D1442" s="630"/>
      <c r="E1442" s="630"/>
      <c r="F1442" s="630"/>
      <c r="G1442" s="630"/>
      <c r="H1442" s="630"/>
      <c r="I1442" s="630"/>
      <c r="J1442" s="630"/>
      <c r="K1442" s="630"/>
      <c r="L1442" s="630"/>
      <c r="M1442" s="630"/>
      <c r="N1442" s="630"/>
      <c r="O1442" s="630"/>
      <c r="P1442" s="630"/>
      <c r="Q1442" s="630"/>
      <c r="R1442" s="630"/>
      <c r="S1442" s="630"/>
      <c r="T1442" s="630"/>
      <c r="U1442" s="630"/>
      <c r="V1442" s="630"/>
      <c r="W1442" s="630"/>
      <c r="X1442" s="630"/>
      <c r="Y1442" s="630"/>
      <c r="Z1442" s="630"/>
      <c r="AA1442" s="630"/>
      <c r="AB1442" s="630"/>
      <c r="AC1442" s="630"/>
      <c r="AD1442" s="630"/>
      <c r="AE1442" s="631" t="s">
        <v>324</v>
      </c>
      <c r="AF1442" s="631"/>
      <c r="AG1442" s="631"/>
      <c r="AH1442" s="631"/>
      <c r="AI1442" s="631"/>
      <c r="AJ1442" s="631"/>
      <c r="AK1442" s="631"/>
      <c r="AL1442" s="631"/>
      <c r="AM1442" s="631"/>
      <c r="AN1442" s="352" t="s">
        <v>881</v>
      </c>
      <c r="AO1442" s="353"/>
      <c r="AP1442" s="353"/>
      <c r="AQ1442" s="353"/>
      <c r="AR1442" s="353"/>
      <c r="AS1442" s="354"/>
      <c r="AT1442" s="45"/>
      <c r="AU1442" s="45"/>
      <c r="AW1442" s="35"/>
      <c r="AX1442" s="35"/>
    </row>
    <row r="1443" spans="1:50" ht="12.75" x14ac:dyDescent="0.2">
      <c r="A1443" s="30"/>
      <c r="B1443" s="30"/>
      <c r="C1443" s="630" t="s">
        <v>313</v>
      </c>
      <c r="D1443" s="630"/>
      <c r="E1443" s="630"/>
      <c r="F1443" s="630"/>
      <c r="G1443" s="630"/>
      <c r="H1443" s="630"/>
      <c r="I1443" s="630"/>
      <c r="J1443" s="630"/>
      <c r="K1443" s="630"/>
      <c r="L1443" s="630"/>
      <c r="M1443" s="630" t="s">
        <v>317</v>
      </c>
      <c r="N1443" s="630"/>
      <c r="O1443" s="630"/>
      <c r="P1443" s="630"/>
      <c r="Q1443" s="630"/>
      <c r="R1443" s="630"/>
      <c r="S1443" s="630"/>
      <c r="T1443" s="630"/>
      <c r="U1443" s="630"/>
      <c r="V1443" s="630"/>
      <c r="W1443" s="630"/>
      <c r="X1443" s="630"/>
      <c r="Y1443" s="630"/>
      <c r="Z1443" s="630"/>
      <c r="AA1443" s="630"/>
      <c r="AB1443" s="630"/>
      <c r="AC1443" s="630"/>
      <c r="AD1443" s="630"/>
      <c r="AE1443" s="631" t="s">
        <v>322</v>
      </c>
      <c r="AF1443" s="631"/>
      <c r="AG1443" s="631"/>
      <c r="AH1443" s="631"/>
      <c r="AI1443" s="631"/>
      <c r="AJ1443" s="631"/>
      <c r="AK1443" s="631"/>
      <c r="AL1443" s="631"/>
      <c r="AM1443" s="631"/>
      <c r="AN1443" s="352" t="s">
        <v>881</v>
      </c>
      <c r="AO1443" s="353"/>
      <c r="AP1443" s="353"/>
      <c r="AQ1443" s="353"/>
      <c r="AR1443" s="353"/>
      <c r="AS1443" s="354"/>
      <c r="AT1443" s="45"/>
      <c r="AU1443" s="45"/>
      <c r="AW1443" s="35"/>
      <c r="AX1443" s="35"/>
    </row>
    <row r="1444" spans="1:50" ht="12.75" x14ac:dyDescent="0.2">
      <c r="A1444" s="30"/>
      <c r="B1444" s="30"/>
      <c r="C1444" s="630"/>
      <c r="D1444" s="630"/>
      <c r="E1444" s="630"/>
      <c r="F1444" s="630"/>
      <c r="G1444" s="630"/>
      <c r="H1444" s="630"/>
      <c r="I1444" s="630"/>
      <c r="J1444" s="630"/>
      <c r="K1444" s="630"/>
      <c r="L1444" s="630"/>
      <c r="M1444" s="630"/>
      <c r="N1444" s="630"/>
      <c r="O1444" s="630"/>
      <c r="P1444" s="630"/>
      <c r="Q1444" s="630"/>
      <c r="R1444" s="630"/>
      <c r="S1444" s="630"/>
      <c r="T1444" s="630"/>
      <c r="U1444" s="630"/>
      <c r="V1444" s="630"/>
      <c r="W1444" s="630"/>
      <c r="X1444" s="630"/>
      <c r="Y1444" s="630"/>
      <c r="Z1444" s="630"/>
      <c r="AA1444" s="630"/>
      <c r="AB1444" s="630"/>
      <c r="AC1444" s="630"/>
      <c r="AD1444" s="630"/>
      <c r="AE1444" s="631" t="s">
        <v>325</v>
      </c>
      <c r="AF1444" s="631"/>
      <c r="AG1444" s="631"/>
      <c r="AH1444" s="631"/>
      <c r="AI1444" s="631"/>
      <c r="AJ1444" s="631"/>
      <c r="AK1444" s="631"/>
      <c r="AL1444" s="631"/>
      <c r="AM1444" s="631"/>
      <c r="AN1444" s="352" t="s">
        <v>881</v>
      </c>
      <c r="AO1444" s="353"/>
      <c r="AP1444" s="353"/>
      <c r="AQ1444" s="353"/>
      <c r="AR1444" s="353"/>
      <c r="AS1444" s="354"/>
      <c r="AT1444" s="45"/>
      <c r="AU1444" s="45"/>
      <c r="AW1444" s="35"/>
      <c r="AX1444" s="35"/>
    </row>
    <row r="1445" spans="1:50" ht="12.75" customHeight="1" x14ac:dyDescent="0.2">
      <c r="A1445" s="30"/>
      <c r="B1445" s="30"/>
      <c r="C1445" s="630"/>
      <c r="D1445" s="630"/>
      <c r="E1445" s="630"/>
      <c r="F1445" s="630"/>
      <c r="G1445" s="630"/>
      <c r="H1445" s="630"/>
      <c r="I1445" s="630"/>
      <c r="J1445" s="630"/>
      <c r="K1445" s="630"/>
      <c r="L1445" s="630"/>
      <c r="M1445" s="630"/>
      <c r="N1445" s="630"/>
      <c r="O1445" s="630"/>
      <c r="P1445" s="630"/>
      <c r="Q1445" s="630"/>
      <c r="R1445" s="630"/>
      <c r="S1445" s="630"/>
      <c r="T1445" s="630"/>
      <c r="U1445" s="630"/>
      <c r="V1445" s="630"/>
      <c r="W1445" s="630"/>
      <c r="X1445" s="630"/>
      <c r="Y1445" s="630"/>
      <c r="Z1445" s="630"/>
      <c r="AA1445" s="630"/>
      <c r="AB1445" s="630"/>
      <c r="AC1445" s="630"/>
      <c r="AD1445" s="630"/>
      <c r="AE1445" s="631" t="s">
        <v>326</v>
      </c>
      <c r="AF1445" s="631"/>
      <c r="AG1445" s="631"/>
      <c r="AH1445" s="631"/>
      <c r="AI1445" s="631"/>
      <c r="AJ1445" s="631"/>
      <c r="AK1445" s="631"/>
      <c r="AL1445" s="631"/>
      <c r="AM1445" s="631"/>
      <c r="AN1445" s="352" t="s">
        <v>881</v>
      </c>
      <c r="AO1445" s="353"/>
      <c r="AP1445" s="353"/>
      <c r="AQ1445" s="353"/>
      <c r="AR1445" s="353"/>
      <c r="AS1445" s="354"/>
      <c r="AT1445" s="45"/>
      <c r="AU1445" s="45"/>
      <c r="AW1445" s="35"/>
      <c r="AX1445" s="35"/>
    </row>
    <row r="1446" spans="1:50" ht="12.75" x14ac:dyDescent="0.2">
      <c r="A1446" s="30"/>
      <c r="B1446" s="30"/>
      <c r="C1446" s="630" t="s">
        <v>314</v>
      </c>
      <c r="D1446" s="630"/>
      <c r="E1446" s="630"/>
      <c r="F1446" s="630"/>
      <c r="G1446" s="630"/>
      <c r="H1446" s="630"/>
      <c r="I1446" s="630"/>
      <c r="J1446" s="630"/>
      <c r="K1446" s="630"/>
      <c r="L1446" s="630"/>
      <c r="M1446" s="630" t="s">
        <v>318</v>
      </c>
      <c r="N1446" s="630"/>
      <c r="O1446" s="630"/>
      <c r="P1446" s="630"/>
      <c r="Q1446" s="630"/>
      <c r="R1446" s="630"/>
      <c r="S1446" s="630"/>
      <c r="T1446" s="630"/>
      <c r="U1446" s="630"/>
      <c r="V1446" s="630"/>
      <c r="W1446" s="630"/>
      <c r="X1446" s="630"/>
      <c r="Y1446" s="630"/>
      <c r="Z1446" s="630"/>
      <c r="AA1446" s="630"/>
      <c r="AB1446" s="630"/>
      <c r="AC1446" s="630"/>
      <c r="AD1446" s="630"/>
      <c r="AE1446" s="631" t="s">
        <v>327</v>
      </c>
      <c r="AF1446" s="631"/>
      <c r="AG1446" s="631"/>
      <c r="AH1446" s="631"/>
      <c r="AI1446" s="631"/>
      <c r="AJ1446" s="631"/>
      <c r="AK1446" s="631"/>
      <c r="AL1446" s="631"/>
      <c r="AM1446" s="631"/>
      <c r="AN1446" s="352" t="s">
        <v>881</v>
      </c>
      <c r="AO1446" s="353"/>
      <c r="AP1446" s="353"/>
      <c r="AQ1446" s="353"/>
      <c r="AR1446" s="353"/>
      <c r="AS1446" s="354"/>
      <c r="AT1446" s="45"/>
      <c r="AU1446" s="45"/>
      <c r="AW1446" s="35"/>
      <c r="AX1446" s="35"/>
    </row>
    <row r="1447" spans="1:50" ht="12.75" x14ac:dyDescent="0.2">
      <c r="A1447" s="30"/>
      <c r="B1447" s="30"/>
      <c r="C1447" s="630"/>
      <c r="D1447" s="630"/>
      <c r="E1447" s="630"/>
      <c r="F1447" s="630"/>
      <c r="G1447" s="630"/>
      <c r="H1447" s="630"/>
      <c r="I1447" s="630"/>
      <c r="J1447" s="630"/>
      <c r="K1447" s="630"/>
      <c r="L1447" s="630"/>
      <c r="M1447" s="630"/>
      <c r="N1447" s="630"/>
      <c r="O1447" s="630"/>
      <c r="P1447" s="630"/>
      <c r="Q1447" s="630"/>
      <c r="R1447" s="630"/>
      <c r="S1447" s="630"/>
      <c r="T1447" s="630"/>
      <c r="U1447" s="630"/>
      <c r="V1447" s="630"/>
      <c r="W1447" s="630"/>
      <c r="X1447" s="630"/>
      <c r="Y1447" s="630"/>
      <c r="Z1447" s="630"/>
      <c r="AA1447" s="630"/>
      <c r="AB1447" s="630"/>
      <c r="AC1447" s="630"/>
      <c r="AD1447" s="630"/>
      <c r="AE1447" s="631" t="s">
        <v>328</v>
      </c>
      <c r="AF1447" s="631"/>
      <c r="AG1447" s="631"/>
      <c r="AH1447" s="631"/>
      <c r="AI1447" s="631"/>
      <c r="AJ1447" s="631"/>
      <c r="AK1447" s="631"/>
      <c r="AL1447" s="631"/>
      <c r="AM1447" s="631"/>
      <c r="AN1447" s="352" t="s">
        <v>881</v>
      </c>
      <c r="AO1447" s="353"/>
      <c r="AP1447" s="353"/>
      <c r="AQ1447" s="353"/>
      <c r="AR1447" s="353"/>
      <c r="AS1447" s="354"/>
      <c r="AT1447" s="45"/>
      <c r="AU1447" s="45"/>
      <c r="AW1447" s="35"/>
      <c r="AX1447" s="35"/>
    </row>
    <row r="1448" spans="1:50" ht="12.75" customHeight="1" x14ac:dyDescent="0.2">
      <c r="A1448" s="30"/>
      <c r="B1448" s="30"/>
      <c r="C1448" s="630"/>
      <c r="D1448" s="630"/>
      <c r="E1448" s="630"/>
      <c r="F1448" s="630"/>
      <c r="G1448" s="630"/>
      <c r="H1448" s="630"/>
      <c r="I1448" s="630"/>
      <c r="J1448" s="630"/>
      <c r="K1448" s="630"/>
      <c r="L1448" s="630"/>
      <c r="M1448" s="630"/>
      <c r="N1448" s="630"/>
      <c r="O1448" s="630"/>
      <c r="P1448" s="630"/>
      <c r="Q1448" s="630"/>
      <c r="R1448" s="630"/>
      <c r="S1448" s="630"/>
      <c r="T1448" s="630"/>
      <c r="U1448" s="630"/>
      <c r="V1448" s="630"/>
      <c r="W1448" s="630"/>
      <c r="X1448" s="630"/>
      <c r="Y1448" s="630"/>
      <c r="Z1448" s="630"/>
      <c r="AA1448" s="630"/>
      <c r="AB1448" s="630"/>
      <c r="AC1448" s="630"/>
      <c r="AD1448" s="630"/>
      <c r="AE1448" s="631" t="s">
        <v>329</v>
      </c>
      <c r="AF1448" s="631"/>
      <c r="AG1448" s="631"/>
      <c r="AH1448" s="631"/>
      <c r="AI1448" s="631"/>
      <c r="AJ1448" s="631"/>
      <c r="AK1448" s="631"/>
      <c r="AL1448" s="631"/>
      <c r="AM1448" s="631"/>
      <c r="AN1448" s="352" t="s">
        <v>881</v>
      </c>
      <c r="AO1448" s="353"/>
      <c r="AP1448" s="353"/>
      <c r="AQ1448" s="353"/>
      <c r="AR1448" s="353"/>
      <c r="AS1448" s="354"/>
      <c r="AT1448" s="45"/>
      <c r="AU1448" s="45"/>
      <c r="AW1448" s="35"/>
      <c r="AX1448" s="35"/>
    </row>
    <row r="1449" spans="1:50" ht="12.75" x14ac:dyDescent="0.2">
      <c r="A1449" s="30"/>
      <c r="B1449" s="30"/>
      <c r="C1449" s="632" t="s">
        <v>372</v>
      </c>
      <c r="D1449" s="633"/>
      <c r="E1449" s="633"/>
      <c r="F1449" s="633"/>
      <c r="G1449" s="633"/>
      <c r="H1449" s="633"/>
      <c r="I1449" s="633"/>
      <c r="J1449" s="633"/>
      <c r="K1449" s="633"/>
      <c r="L1449" s="633"/>
      <c r="M1449" s="633"/>
      <c r="N1449" s="633"/>
      <c r="O1449" s="633"/>
      <c r="P1449" s="633"/>
      <c r="Q1449" s="633"/>
      <c r="R1449" s="633"/>
      <c r="S1449" s="633"/>
      <c r="T1449" s="633"/>
      <c r="U1449" s="633"/>
      <c r="V1449" s="633"/>
      <c r="W1449" s="633"/>
      <c r="X1449" s="633"/>
      <c r="Y1449" s="633"/>
      <c r="Z1449" s="633"/>
      <c r="AA1449" s="633"/>
      <c r="AB1449" s="633"/>
      <c r="AC1449" s="633"/>
      <c r="AD1449" s="633"/>
      <c r="AE1449" s="633"/>
      <c r="AF1449" s="633"/>
      <c r="AG1449" s="633"/>
      <c r="AH1449" s="633"/>
      <c r="AI1449" s="633"/>
      <c r="AJ1449" s="633"/>
      <c r="AK1449" s="633"/>
      <c r="AL1449" s="633"/>
      <c r="AM1449" s="633"/>
      <c r="AN1449" s="633"/>
      <c r="AO1449" s="633"/>
      <c r="AP1449" s="633"/>
      <c r="AQ1449" s="633"/>
      <c r="AR1449" s="633"/>
      <c r="AS1449" s="634"/>
      <c r="AT1449" s="45"/>
      <c r="AU1449" s="45"/>
      <c r="AW1449" s="35"/>
      <c r="AX1449" s="35"/>
    </row>
    <row r="1450" spans="1:50" ht="15" customHeight="1" x14ac:dyDescent="0.2">
      <c r="A1450" s="30"/>
      <c r="B1450" s="30"/>
      <c r="C1450" s="630" t="s">
        <v>330</v>
      </c>
      <c r="D1450" s="630"/>
      <c r="E1450" s="630"/>
      <c r="F1450" s="630"/>
      <c r="G1450" s="630"/>
      <c r="H1450" s="630"/>
      <c r="I1450" s="630"/>
      <c r="J1450" s="630"/>
      <c r="K1450" s="630"/>
      <c r="L1450" s="630"/>
      <c r="M1450" s="630" t="s">
        <v>331</v>
      </c>
      <c r="N1450" s="630"/>
      <c r="O1450" s="630"/>
      <c r="P1450" s="630"/>
      <c r="Q1450" s="630"/>
      <c r="R1450" s="630"/>
      <c r="S1450" s="630"/>
      <c r="T1450" s="630"/>
      <c r="U1450" s="630"/>
      <c r="V1450" s="630"/>
      <c r="W1450" s="630"/>
      <c r="X1450" s="630"/>
      <c r="Y1450" s="630"/>
      <c r="Z1450" s="630"/>
      <c r="AA1450" s="630"/>
      <c r="AB1450" s="630"/>
      <c r="AC1450" s="630"/>
      <c r="AD1450" s="630"/>
      <c r="AE1450" s="631" t="s">
        <v>332</v>
      </c>
      <c r="AF1450" s="631"/>
      <c r="AG1450" s="631"/>
      <c r="AH1450" s="631"/>
      <c r="AI1450" s="631"/>
      <c r="AJ1450" s="631"/>
      <c r="AK1450" s="631"/>
      <c r="AL1450" s="631"/>
      <c r="AM1450" s="631"/>
      <c r="AN1450" s="352" t="s">
        <v>881</v>
      </c>
      <c r="AO1450" s="353"/>
      <c r="AP1450" s="353"/>
      <c r="AQ1450" s="353"/>
      <c r="AR1450" s="353"/>
      <c r="AS1450" s="354"/>
      <c r="AT1450" s="45"/>
      <c r="AU1450" s="45"/>
      <c r="AW1450" s="35"/>
      <c r="AX1450" s="35"/>
    </row>
    <row r="1451" spans="1:50" ht="15" customHeight="1" x14ac:dyDescent="0.2">
      <c r="A1451" s="30"/>
      <c r="B1451" s="30"/>
      <c r="C1451" s="630"/>
      <c r="D1451" s="630"/>
      <c r="E1451" s="630"/>
      <c r="F1451" s="630"/>
      <c r="G1451" s="630"/>
      <c r="H1451" s="630"/>
      <c r="I1451" s="630"/>
      <c r="J1451" s="630"/>
      <c r="K1451" s="630"/>
      <c r="L1451" s="630"/>
      <c r="M1451" s="630"/>
      <c r="N1451" s="630"/>
      <c r="O1451" s="630"/>
      <c r="P1451" s="630"/>
      <c r="Q1451" s="630"/>
      <c r="R1451" s="630"/>
      <c r="S1451" s="630"/>
      <c r="T1451" s="630"/>
      <c r="U1451" s="630"/>
      <c r="V1451" s="630"/>
      <c r="W1451" s="630"/>
      <c r="X1451" s="630"/>
      <c r="Y1451" s="630"/>
      <c r="Z1451" s="630"/>
      <c r="AA1451" s="630"/>
      <c r="AB1451" s="630"/>
      <c r="AC1451" s="630"/>
      <c r="AD1451" s="630"/>
      <c r="AE1451" s="631" t="s">
        <v>333</v>
      </c>
      <c r="AF1451" s="631"/>
      <c r="AG1451" s="631"/>
      <c r="AH1451" s="631"/>
      <c r="AI1451" s="631"/>
      <c r="AJ1451" s="631"/>
      <c r="AK1451" s="631"/>
      <c r="AL1451" s="631"/>
      <c r="AM1451" s="631"/>
      <c r="AN1451" s="352" t="s">
        <v>881</v>
      </c>
      <c r="AO1451" s="353"/>
      <c r="AP1451" s="353"/>
      <c r="AQ1451" s="353"/>
      <c r="AR1451" s="353"/>
      <c r="AS1451" s="354"/>
      <c r="AT1451" s="45"/>
      <c r="AU1451" s="45"/>
      <c r="AW1451" s="35"/>
      <c r="AX1451" s="35"/>
    </row>
    <row r="1452" spans="1:50" ht="15" customHeight="1" x14ac:dyDescent="0.2">
      <c r="A1452" s="30"/>
      <c r="B1452" s="30"/>
      <c r="C1452" s="630"/>
      <c r="D1452" s="630"/>
      <c r="E1452" s="630"/>
      <c r="F1452" s="630"/>
      <c r="G1452" s="630"/>
      <c r="H1452" s="630"/>
      <c r="I1452" s="630"/>
      <c r="J1452" s="630"/>
      <c r="K1452" s="630"/>
      <c r="L1452" s="630"/>
      <c r="M1452" s="630"/>
      <c r="N1452" s="630"/>
      <c r="O1452" s="630"/>
      <c r="P1452" s="630"/>
      <c r="Q1452" s="630"/>
      <c r="R1452" s="630"/>
      <c r="S1452" s="630"/>
      <c r="T1452" s="630"/>
      <c r="U1452" s="630"/>
      <c r="V1452" s="630"/>
      <c r="W1452" s="630"/>
      <c r="X1452" s="630"/>
      <c r="Y1452" s="630"/>
      <c r="Z1452" s="630"/>
      <c r="AA1452" s="630"/>
      <c r="AB1452" s="630"/>
      <c r="AC1452" s="630"/>
      <c r="AD1452" s="630"/>
      <c r="AE1452" s="631" t="s">
        <v>325</v>
      </c>
      <c r="AF1452" s="631"/>
      <c r="AG1452" s="631"/>
      <c r="AH1452" s="631"/>
      <c r="AI1452" s="631"/>
      <c r="AJ1452" s="631"/>
      <c r="AK1452" s="631"/>
      <c r="AL1452" s="631"/>
      <c r="AM1452" s="631"/>
      <c r="AN1452" s="352" t="s">
        <v>881</v>
      </c>
      <c r="AO1452" s="353"/>
      <c r="AP1452" s="353"/>
      <c r="AQ1452" s="353"/>
      <c r="AR1452" s="353"/>
      <c r="AS1452" s="354"/>
      <c r="AT1452" s="45"/>
      <c r="AU1452" s="45"/>
      <c r="AW1452" s="35"/>
      <c r="AX1452" s="35"/>
    </row>
    <row r="1453" spans="1:50" ht="15" customHeight="1" x14ac:dyDescent="0.25">
      <c r="C1453" s="630"/>
      <c r="D1453" s="630"/>
      <c r="E1453" s="630"/>
      <c r="F1453" s="630"/>
      <c r="G1453" s="630"/>
      <c r="H1453" s="630"/>
      <c r="I1453" s="630"/>
      <c r="J1453" s="630"/>
      <c r="K1453" s="630"/>
      <c r="L1453" s="630"/>
      <c r="M1453" s="630"/>
      <c r="N1453" s="630"/>
      <c r="O1453" s="630"/>
      <c r="P1453" s="630"/>
      <c r="Q1453" s="630"/>
      <c r="R1453" s="630"/>
      <c r="S1453" s="630"/>
      <c r="T1453" s="630"/>
      <c r="U1453" s="630"/>
      <c r="V1453" s="630"/>
      <c r="W1453" s="630"/>
      <c r="X1453" s="630"/>
      <c r="Y1453" s="630"/>
      <c r="Z1453" s="630"/>
      <c r="AA1453" s="630"/>
      <c r="AB1453" s="630"/>
      <c r="AC1453" s="630"/>
      <c r="AD1453" s="630"/>
      <c r="AE1453" s="631" t="s">
        <v>334</v>
      </c>
      <c r="AF1453" s="631"/>
      <c r="AG1453" s="631"/>
      <c r="AH1453" s="631"/>
      <c r="AI1453" s="631"/>
      <c r="AJ1453" s="631"/>
      <c r="AK1453" s="631"/>
      <c r="AL1453" s="631"/>
      <c r="AM1453" s="631"/>
      <c r="AN1453" s="352" t="s">
        <v>881</v>
      </c>
      <c r="AO1453" s="353"/>
      <c r="AP1453" s="353"/>
      <c r="AQ1453" s="353"/>
      <c r="AR1453" s="353"/>
      <c r="AS1453" s="354"/>
      <c r="AT1453" s="45"/>
      <c r="AU1453" s="45"/>
      <c r="AW1453" s="35"/>
      <c r="AX1453" s="35"/>
    </row>
    <row r="1454" spans="1:50" ht="15" customHeight="1" x14ac:dyDescent="0.25">
      <c r="C1454" s="630"/>
      <c r="D1454" s="630"/>
      <c r="E1454" s="630"/>
      <c r="F1454" s="630"/>
      <c r="G1454" s="630"/>
      <c r="H1454" s="630"/>
      <c r="I1454" s="630"/>
      <c r="J1454" s="630"/>
      <c r="K1454" s="630"/>
      <c r="L1454" s="630"/>
      <c r="M1454" s="630"/>
      <c r="N1454" s="630"/>
      <c r="O1454" s="630"/>
      <c r="P1454" s="630"/>
      <c r="Q1454" s="630"/>
      <c r="R1454" s="630"/>
      <c r="S1454" s="630"/>
      <c r="T1454" s="630"/>
      <c r="U1454" s="630"/>
      <c r="V1454" s="630"/>
      <c r="W1454" s="630"/>
      <c r="X1454" s="630"/>
      <c r="Y1454" s="630"/>
      <c r="Z1454" s="630"/>
      <c r="AA1454" s="630"/>
      <c r="AB1454" s="630"/>
      <c r="AC1454" s="630"/>
      <c r="AD1454" s="630"/>
      <c r="AE1454" s="631" t="s">
        <v>335</v>
      </c>
      <c r="AF1454" s="631"/>
      <c r="AG1454" s="631"/>
      <c r="AH1454" s="631"/>
      <c r="AI1454" s="631"/>
      <c r="AJ1454" s="631"/>
      <c r="AK1454" s="631"/>
      <c r="AL1454" s="631"/>
      <c r="AM1454" s="631"/>
      <c r="AN1454" s="352" t="s">
        <v>881</v>
      </c>
      <c r="AO1454" s="353"/>
      <c r="AP1454" s="353"/>
      <c r="AQ1454" s="353"/>
      <c r="AR1454" s="353"/>
      <c r="AS1454" s="354"/>
      <c r="AT1454" s="45"/>
      <c r="AU1454" s="45"/>
      <c r="AW1454" s="35"/>
      <c r="AX1454" s="35"/>
    </row>
    <row r="1455" spans="1:50" ht="15" customHeight="1" x14ac:dyDescent="0.25">
      <c r="C1455" s="630" t="s">
        <v>336</v>
      </c>
      <c r="D1455" s="630"/>
      <c r="E1455" s="630"/>
      <c r="F1455" s="630"/>
      <c r="G1455" s="630"/>
      <c r="H1455" s="630"/>
      <c r="I1455" s="630"/>
      <c r="J1455" s="630"/>
      <c r="K1455" s="630"/>
      <c r="L1455" s="630"/>
      <c r="M1455" s="630" t="s">
        <v>337</v>
      </c>
      <c r="N1455" s="630"/>
      <c r="O1455" s="630"/>
      <c r="P1455" s="630"/>
      <c r="Q1455" s="630"/>
      <c r="R1455" s="630"/>
      <c r="S1455" s="630"/>
      <c r="T1455" s="630"/>
      <c r="U1455" s="630"/>
      <c r="V1455" s="630"/>
      <c r="W1455" s="630"/>
      <c r="X1455" s="630"/>
      <c r="Y1455" s="630"/>
      <c r="Z1455" s="630"/>
      <c r="AA1455" s="630"/>
      <c r="AB1455" s="630"/>
      <c r="AC1455" s="630"/>
      <c r="AD1455" s="630"/>
      <c r="AE1455" s="631" t="s">
        <v>322</v>
      </c>
      <c r="AF1455" s="631"/>
      <c r="AG1455" s="631"/>
      <c r="AH1455" s="631"/>
      <c r="AI1455" s="631"/>
      <c r="AJ1455" s="631"/>
      <c r="AK1455" s="631"/>
      <c r="AL1455" s="631"/>
      <c r="AM1455" s="631"/>
      <c r="AN1455" s="352" t="s">
        <v>881</v>
      </c>
      <c r="AO1455" s="353"/>
      <c r="AP1455" s="353"/>
      <c r="AQ1455" s="353"/>
      <c r="AR1455" s="353"/>
      <c r="AS1455" s="354"/>
      <c r="AT1455" s="45"/>
      <c r="AU1455" s="45"/>
      <c r="AW1455" s="35"/>
      <c r="AX1455" s="35"/>
    </row>
    <row r="1456" spans="1:50" ht="15" customHeight="1" x14ac:dyDescent="0.25">
      <c r="C1456" s="630"/>
      <c r="D1456" s="630"/>
      <c r="E1456" s="630"/>
      <c r="F1456" s="630"/>
      <c r="G1456" s="630"/>
      <c r="H1456" s="630"/>
      <c r="I1456" s="630"/>
      <c r="J1456" s="630"/>
      <c r="K1456" s="630"/>
      <c r="L1456" s="630"/>
      <c r="M1456" s="630"/>
      <c r="N1456" s="630"/>
      <c r="O1456" s="630"/>
      <c r="P1456" s="630"/>
      <c r="Q1456" s="630"/>
      <c r="R1456" s="630"/>
      <c r="S1456" s="630"/>
      <c r="T1456" s="630"/>
      <c r="U1456" s="630"/>
      <c r="V1456" s="630"/>
      <c r="W1456" s="630"/>
      <c r="X1456" s="630"/>
      <c r="Y1456" s="630"/>
      <c r="Z1456" s="630"/>
      <c r="AA1456" s="630"/>
      <c r="AB1456" s="630"/>
      <c r="AC1456" s="630"/>
      <c r="AD1456" s="630"/>
      <c r="AE1456" s="631" t="s">
        <v>323</v>
      </c>
      <c r="AF1456" s="631"/>
      <c r="AG1456" s="631"/>
      <c r="AH1456" s="631"/>
      <c r="AI1456" s="631"/>
      <c r="AJ1456" s="631"/>
      <c r="AK1456" s="631"/>
      <c r="AL1456" s="631"/>
      <c r="AM1456" s="631"/>
      <c r="AN1456" s="352" t="s">
        <v>881</v>
      </c>
      <c r="AO1456" s="353"/>
      <c r="AP1456" s="353"/>
      <c r="AQ1456" s="353"/>
      <c r="AR1456" s="353"/>
      <c r="AS1456" s="354"/>
      <c r="AT1456" s="45"/>
      <c r="AU1456" s="45"/>
      <c r="AW1456" s="35"/>
      <c r="AX1456" s="35"/>
    </row>
    <row r="1457" spans="1:50" ht="15" customHeight="1" x14ac:dyDescent="0.25">
      <c r="C1457" s="630"/>
      <c r="D1457" s="630"/>
      <c r="E1457" s="630"/>
      <c r="F1457" s="630"/>
      <c r="G1457" s="630"/>
      <c r="H1457" s="630"/>
      <c r="I1457" s="630"/>
      <c r="J1457" s="630"/>
      <c r="K1457" s="630"/>
      <c r="L1457" s="630"/>
      <c r="M1457" s="630"/>
      <c r="N1457" s="630"/>
      <c r="O1457" s="630"/>
      <c r="P1457" s="630"/>
      <c r="Q1457" s="630"/>
      <c r="R1457" s="630"/>
      <c r="S1457" s="630"/>
      <c r="T1457" s="630"/>
      <c r="U1457" s="630"/>
      <c r="V1457" s="630"/>
      <c r="W1457" s="630"/>
      <c r="X1457" s="630"/>
      <c r="Y1457" s="630"/>
      <c r="Z1457" s="630"/>
      <c r="AA1457" s="630"/>
      <c r="AB1457" s="630"/>
      <c r="AC1457" s="630"/>
      <c r="AD1457" s="630"/>
      <c r="AE1457" s="631" t="s">
        <v>324</v>
      </c>
      <c r="AF1457" s="631"/>
      <c r="AG1457" s="631"/>
      <c r="AH1457" s="631"/>
      <c r="AI1457" s="631"/>
      <c r="AJ1457" s="631"/>
      <c r="AK1457" s="631"/>
      <c r="AL1457" s="631"/>
      <c r="AM1457" s="631"/>
      <c r="AN1457" s="352" t="s">
        <v>881</v>
      </c>
      <c r="AO1457" s="353"/>
      <c r="AP1457" s="353"/>
      <c r="AQ1457" s="353"/>
      <c r="AR1457" s="353"/>
      <c r="AS1457" s="354"/>
      <c r="AT1457" s="45"/>
      <c r="AU1457" s="45"/>
      <c r="AW1457" s="35"/>
      <c r="AX1457" s="35"/>
    </row>
    <row r="1458" spans="1:50" ht="15" customHeight="1" x14ac:dyDescent="0.25">
      <c r="C1458" s="630" t="s">
        <v>338</v>
      </c>
      <c r="D1458" s="630"/>
      <c r="E1458" s="630"/>
      <c r="F1458" s="630"/>
      <c r="G1458" s="630"/>
      <c r="H1458" s="630"/>
      <c r="I1458" s="630"/>
      <c r="J1458" s="630"/>
      <c r="K1458" s="630"/>
      <c r="L1458" s="630"/>
      <c r="M1458" s="630" t="s">
        <v>373</v>
      </c>
      <c r="N1458" s="630"/>
      <c r="O1458" s="630"/>
      <c r="P1458" s="630"/>
      <c r="Q1458" s="630"/>
      <c r="R1458" s="630"/>
      <c r="S1458" s="630"/>
      <c r="T1458" s="630"/>
      <c r="U1458" s="630"/>
      <c r="V1458" s="630"/>
      <c r="W1458" s="630"/>
      <c r="X1458" s="630"/>
      <c r="Y1458" s="630"/>
      <c r="Z1458" s="630"/>
      <c r="AA1458" s="630"/>
      <c r="AB1458" s="630"/>
      <c r="AC1458" s="630"/>
      <c r="AD1458" s="630"/>
      <c r="AE1458" s="631" t="s">
        <v>322</v>
      </c>
      <c r="AF1458" s="631"/>
      <c r="AG1458" s="631"/>
      <c r="AH1458" s="631"/>
      <c r="AI1458" s="631"/>
      <c r="AJ1458" s="631"/>
      <c r="AK1458" s="631"/>
      <c r="AL1458" s="631"/>
      <c r="AM1458" s="631"/>
      <c r="AN1458" s="352" t="s">
        <v>881</v>
      </c>
      <c r="AO1458" s="353"/>
      <c r="AP1458" s="353"/>
      <c r="AQ1458" s="353"/>
      <c r="AR1458" s="353"/>
      <c r="AS1458" s="354"/>
      <c r="AT1458" s="45"/>
      <c r="AU1458" s="45"/>
      <c r="AW1458" s="35"/>
      <c r="AX1458" s="35"/>
    </row>
    <row r="1459" spans="1:50" ht="15" customHeight="1" x14ac:dyDescent="0.25">
      <c r="C1459" s="630"/>
      <c r="D1459" s="630"/>
      <c r="E1459" s="630"/>
      <c r="F1459" s="630"/>
      <c r="G1459" s="630"/>
      <c r="H1459" s="630"/>
      <c r="I1459" s="630"/>
      <c r="J1459" s="630"/>
      <c r="K1459" s="630"/>
      <c r="L1459" s="630"/>
      <c r="M1459" s="630"/>
      <c r="N1459" s="630"/>
      <c r="O1459" s="630"/>
      <c r="P1459" s="630"/>
      <c r="Q1459" s="630"/>
      <c r="R1459" s="630"/>
      <c r="S1459" s="630"/>
      <c r="T1459" s="630"/>
      <c r="U1459" s="630"/>
      <c r="V1459" s="630"/>
      <c r="W1459" s="630"/>
      <c r="X1459" s="630"/>
      <c r="Y1459" s="630"/>
      <c r="Z1459" s="630"/>
      <c r="AA1459" s="630"/>
      <c r="AB1459" s="630"/>
      <c r="AC1459" s="630"/>
      <c r="AD1459" s="630"/>
      <c r="AE1459" s="631" t="s">
        <v>325</v>
      </c>
      <c r="AF1459" s="631"/>
      <c r="AG1459" s="631"/>
      <c r="AH1459" s="631"/>
      <c r="AI1459" s="631"/>
      <c r="AJ1459" s="631"/>
      <c r="AK1459" s="631"/>
      <c r="AL1459" s="631"/>
      <c r="AM1459" s="631"/>
      <c r="AN1459" s="352" t="s">
        <v>881</v>
      </c>
      <c r="AO1459" s="353"/>
      <c r="AP1459" s="353"/>
      <c r="AQ1459" s="353"/>
      <c r="AR1459" s="353"/>
      <c r="AS1459" s="354"/>
      <c r="AT1459" s="45"/>
      <c r="AU1459" s="45"/>
      <c r="AW1459" s="35"/>
      <c r="AX1459" s="35"/>
    </row>
    <row r="1460" spans="1:50" ht="15" customHeight="1" x14ac:dyDescent="0.25">
      <c r="C1460" s="630"/>
      <c r="D1460" s="630"/>
      <c r="E1460" s="630"/>
      <c r="F1460" s="630"/>
      <c r="G1460" s="630"/>
      <c r="H1460" s="630"/>
      <c r="I1460" s="630"/>
      <c r="J1460" s="630"/>
      <c r="K1460" s="630"/>
      <c r="L1460" s="630"/>
      <c r="M1460" s="630"/>
      <c r="N1460" s="630"/>
      <c r="O1460" s="630"/>
      <c r="P1460" s="630"/>
      <c r="Q1460" s="630"/>
      <c r="R1460" s="630"/>
      <c r="S1460" s="630"/>
      <c r="T1460" s="630"/>
      <c r="U1460" s="630"/>
      <c r="V1460" s="630"/>
      <c r="W1460" s="630"/>
      <c r="X1460" s="630"/>
      <c r="Y1460" s="630"/>
      <c r="Z1460" s="630"/>
      <c r="AA1460" s="630"/>
      <c r="AB1460" s="630"/>
      <c r="AC1460" s="630"/>
      <c r="AD1460" s="630"/>
      <c r="AE1460" s="631" t="s">
        <v>326</v>
      </c>
      <c r="AF1460" s="631"/>
      <c r="AG1460" s="631"/>
      <c r="AH1460" s="631"/>
      <c r="AI1460" s="631"/>
      <c r="AJ1460" s="631"/>
      <c r="AK1460" s="631"/>
      <c r="AL1460" s="631"/>
      <c r="AM1460" s="631"/>
      <c r="AN1460" s="352" t="s">
        <v>881</v>
      </c>
      <c r="AO1460" s="353"/>
      <c r="AP1460" s="353"/>
      <c r="AQ1460" s="353"/>
      <c r="AR1460" s="353"/>
      <c r="AS1460" s="354"/>
      <c r="AT1460" s="45"/>
      <c r="AU1460" s="45"/>
      <c r="AW1460" s="35"/>
      <c r="AX1460" s="35"/>
    </row>
    <row r="1461" spans="1:50" ht="15" customHeight="1" x14ac:dyDescent="0.25">
      <c r="C1461" s="630" t="s">
        <v>339</v>
      </c>
      <c r="D1461" s="630"/>
      <c r="E1461" s="630"/>
      <c r="F1461" s="630"/>
      <c r="G1461" s="630"/>
      <c r="H1461" s="630"/>
      <c r="I1461" s="630"/>
      <c r="J1461" s="630"/>
      <c r="K1461" s="630"/>
      <c r="L1461" s="630"/>
      <c r="M1461" s="630" t="s">
        <v>340</v>
      </c>
      <c r="N1461" s="630"/>
      <c r="O1461" s="630"/>
      <c r="P1461" s="630"/>
      <c r="Q1461" s="630"/>
      <c r="R1461" s="630"/>
      <c r="S1461" s="630"/>
      <c r="T1461" s="630"/>
      <c r="U1461" s="630"/>
      <c r="V1461" s="630"/>
      <c r="W1461" s="630"/>
      <c r="X1461" s="630"/>
      <c r="Y1461" s="630"/>
      <c r="Z1461" s="630"/>
      <c r="AA1461" s="630"/>
      <c r="AB1461" s="630"/>
      <c r="AC1461" s="630"/>
      <c r="AD1461" s="630"/>
      <c r="AE1461" s="631" t="s">
        <v>327</v>
      </c>
      <c r="AF1461" s="631"/>
      <c r="AG1461" s="631"/>
      <c r="AH1461" s="631"/>
      <c r="AI1461" s="631"/>
      <c r="AJ1461" s="631"/>
      <c r="AK1461" s="631"/>
      <c r="AL1461" s="631"/>
      <c r="AM1461" s="631"/>
      <c r="AN1461" s="352" t="s">
        <v>881</v>
      </c>
      <c r="AO1461" s="353"/>
      <c r="AP1461" s="353"/>
      <c r="AQ1461" s="353"/>
      <c r="AR1461" s="353"/>
      <c r="AS1461" s="354"/>
      <c r="AT1461" s="45"/>
      <c r="AU1461" s="45"/>
      <c r="AW1461" s="35"/>
      <c r="AX1461" s="35"/>
    </row>
    <row r="1462" spans="1:50" ht="15" customHeight="1" x14ac:dyDescent="0.25">
      <c r="C1462" s="630"/>
      <c r="D1462" s="630"/>
      <c r="E1462" s="630"/>
      <c r="F1462" s="630"/>
      <c r="G1462" s="630"/>
      <c r="H1462" s="630"/>
      <c r="I1462" s="630"/>
      <c r="J1462" s="630"/>
      <c r="K1462" s="630"/>
      <c r="L1462" s="630"/>
      <c r="M1462" s="630"/>
      <c r="N1462" s="630"/>
      <c r="O1462" s="630"/>
      <c r="P1462" s="630"/>
      <c r="Q1462" s="630"/>
      <c r="R1462" s="630"/>
      <c r="S1462" s="630"/>
      <c r="T1462" s="630"/>
      <c r="U1462" s="630"/>
      <c r="V1462" s="630"/>
      <c r="W1462" s="630"/>
      <c r="X1462" s="630"/>
      <c r="Y1462" s="630"/>
      <c r="Z1462" s="630"/>
      <c r="AA1462" s="630"/>
      <c r="AB1462" s="630"/>
      <c r="AC1462" s="630"/>
      <c r="AD1462" s="630"/>
      <c r="AE1462" s="631" t="s">
        <v>332</v>
      </c>
      <c r="AF1462" s="631"/>
      <c r="AG1462" s="631"/>
      <c r="AH1462" s="631"/>
      <c r="AI1462" s="631"/>
      <c r="AJ1462" s="631"/>
      <c r="AK1462" s="631"/>
      <c r="AL1462" s="631"/>
      <c r="AM1462" s="631"/>
      <c r="AN1462" s="352" t="s">
        <v>881</v>
      </c>
      <c r="AO1462" s="353"/>
      <c r="AP1462" s="353"/>
      <c r="AQ1462" s="353"/>
      <c r="AR1462" s="353"/>
      <c r="AS1462" s="354"/>
      <c r="AT1462" s="45"/>
      <c r="AU1462" s="45"/>
      <c r="AW1462" s="35"/>
      <c r="AX1462" s="35"/>
    </row>
    <row r="1463" spans="1:50" ht="15" customHeight="1" x14ac:dyDescent="0.25">
      <c r="C1463" s="630"/>
      <c r="D1463" s="630"/>
      <c r="E1463" s="630"/>
      <c r="F1463" s="630"/>
      <c r="G1463" s="630"/>
      <c r="H1463" s="630"/>
      <c r="I1463" s="630"/>
      <c r="J1463" s="630"/>
      <c r="K1463" s="630"/>
      <c r="L1463" s="630"/>
      <c r="M1463" s="630"/>
      <c r="N1463" s="630"/>
      <c r="O1463" s="630"/>
      <c r="P1463" s="630"/>
      <c r="Q1463" s="630"/>
      <c r="R1463" s="630"/>
      <c r="S1463" s="630"/>
      <c r="T1463" s="630"/>
      <c r="U1463" s="630"/>
      <c r="V1463" s="630"/>
      <c r="W1463" s="630"/>
      <c r="X1463" s="630"/>
      <c r="Y1463" s="630"/>
      <c r="Z1463" s="630"/>
      <c r="AA1463" s="630"/>
      <c r="AB1463" s="630"/>
      <c r="AC1463" s="630"/>
      <c r="AD1463" s="630"/>
      <c r="AE1463" s="631" t="s">
        <v>341</v>
      </c>
      <c r="AF1463" s="631"/>
      <c r="AG1463" s="631"/>
      <c r="AH1463" s="631"/>
      <c r="AI1463" s="631"/>
      <c r="AJ1463" s="631"/>
      <c r="AK1463" s="631"/>
      <c r="AL1463" s="631"/>
      <c r="AM1463" s="631"/>
      <c r="AN1463" s="352" t="s">
        <v>881</v>
      </c>
      <c r="AO1463" s="353"/>
      <c r="AP1463" s="353"/>
      <c r="AQ1463" s="353"/>
      <c r="AR1463" s="353"/>
      <c r="AS1463" s="354"/>
      <c r="AT1463" s="45"/>
      <c r="AU1463" s="45"/>
      <c r="AW1463" s="35"/>
      <c r="AX1463" s="35"/>
    </row>
    <row r="1464" spans="1:50" x14ac:dyDescent="0.25">
      <c r="AE1464" s="51"/>
      <c r="AW1464" s="35"/>
      <c r="AX1464" s="35"/>
    </row>
    <row r="1465" spans="1:50" s="57" customFormat="1" ht="15.75" x14ac:dyDescent="0.25">
      <c r="A1465" s="56"/>
      <c r="B1465" s="56"/>
      <c r="C1465" s="42" t="s">
        <v>376</v>
      </c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</row>
    <row r="1466" spans="1:50" s="57" customFormat="1" ht="15.75" x14ac:dyDescent="0.25">
      <c r="A1466" s="56"/>
      <c r="B1466" s="56"/>
      <c r="C1466" s="656" t="s">
        <v>80</v>
      </c>
      <c r="D1466" s="656"/>
      <c r="E1466" s="656"/>
      <c r="F1466" s="656"/>
      <c r="G1466" s="656"/>
      <c r="H1466" s="656"/>
      <c r="I1466" s="656"/>
      <c r="J1466" s="656"/>
      <c r="K1466" s="656"/>
      <c r="L1466" s="656"/>
      <c r="M1466" s="656" t="s">
        <v>161</v>
      </c>
      <c r="N1466" s="656"/>
      <c r="O1466" s="656"/>
      <c r="P1466" s="656"/>
      <c r="Q1466" s="656"/>
      <c r="R1466" s="656"/>
      <c r="S1466" s="656"/>
      <c r="T1466" s="656"/>
      <c r="U1466" s="656"/>
      <c r="V1466" s="656"/>
      <c r="W1466" s="656"/>
      <c r="X1466" s="656"/>
      <c r="Y1466" s="656"/>
      <c r="Z1466" s="656"/>
      <c r="AA1466" s="656"/>
      <c r="AB1466" s="656"/>
      <c r="AC1466" s="656"/>
      <c r="AD1466" s="656"/>
      <c r="AE1466" s="656" t="s">
        <v>549</v>
      </c>
      <c r="AF1466" s="656"/>
      <c r="AG1466" s="656"/>
      <c r="AH1466" s="656"/>
      <c r="AI1466" s="656"/>
      <c r="AJ1466" s="656"/>
      <c r="AK1466" s="656"/>
      <c r="AL1466" s="656"/>
      <c r="AM1466" s="656"/>
      <c r="AN1466" s="485" t="s">
        <v>907</v>
      </c>
      <c r="AO1466" s="485"/>
      <c r="AP1466" s="485"/>
      <c r="AQ1466" s="485"/>
      <c r="AR1466" s="485"/>
      <c r="AS1466" s="485"/>
    </row>
    <row r="1467" spans="1:50" x14ac:dyDescent="0.25">
      <c r="C1467" s="658" t="s">
        <v>374</v>
      </c>
      <c r="D1467" s="659"/>
      <c r="E1467" s="659"/>
      <c r="F1467" s="659"/>
      <c r="G1467" s="659"/>
      <c r="H1467" s="659"/>
      <c r="I1467" s="659"/>
      <c r="J1467" s="659"/>
      <c r="K1467" s="659"/>
      <c r="L1467" s="659"/>
      <c r="M1467" s="659"/>
      <c r="N1467" s="659"/>
      <c r="O1467" s="659"/>
      <c r="P1467" s="659"/>
      <c r="Q1467" s="659"/>
      <c r="R1467" s="659"/>
      <c r="S1467" s="659"/>
      <c r="T1467" s="659"/>
      <c r="U1467" s="659"/>
      <c r="V1467" s="659"/>
      <c r="W1467" s="659"/>
      <c r="X1467" s="659"/>
      <c r="Y1467" s="659"/>
      <c r="Z1467" s="659"/>
      <c r="AA1467" s="659"/>
      <c r="AB1467" s="659"/>
      <c r="AC1467" s="659"/>
      <c r="AD1467" s="659"/>
      <c r="AE1467" s="659"/>
      <c r="AF1467" s="659"/>
      <c r="AG1467" s="659"/>
      <c r="AH1467" s="659"/>
      <c r="AI1467" s="659"/>
      <c r="AJ1467" s="659"/>
      <c r="AK1467" s="659"/>
      <c r="AL1467" s="659"/>
      <c r="AM1467" s="659"/>
      <c r="AN1467" s="659"/>
      <c r="AO1467" s="659"/>
      <c r="AP1467" s="659"/>
      <c r="AQ1467" s="659"/>
      <c r="AR1467" s="659"/>
      <c r="AS1467" s="659"/>
      <c r="AT1467" s="659"/>
      <c r="AU1467" s="660"/>
      <c r="AW1467" s="35"/>
      <c r="AX1467" s="35"/>
    </row>
    <row r="1468" spans="1:50" x14ac:dyDescent="0.25">
      <c r="C1468" s="661" t="s">
        <v>342</v>
      </c>
      <c r="D1468" s="661"/>
      <c r="E1468" s="661"/>
      <c r="F1468" s="661"/>
      <c r="G1468" s="661"/>
      <c r="H1468" s="661"/>
      <c r="I1468" s="661"/>
      <c r="J1468" s="661"/>
      <c r="K1468" s="661"/>
      <c r="L1468" s="661"/>
      <c r="M1468" s="662" t="s">
        <v>343</v>
      </c>
      <c r="N1468" s="662"/>
      <c r="O1468" s="662"/>
      <c r="P1468" s="662"/>
      <c r="Q1468" s="662"/>
      <c r="R1468" s="662"/>
      <c r="S1468" s="662"/>
      <c r="T1468" s="662"/>
      <c r="U1468" s="662"/>
      <c r="V1468" s="662"/>
      <c r="W1468" s="662"/>
      <c r="X1468" s="662"/>
      <c r="Y1468" s="662"/>
      <c r="Z1468" s="662"/>
      <c r="AA1468" s="662"/>
      <c r="AB1468" s="662"/>
      <c r="AC1468" s="662"/>
      <c r="AD1468" s="662"/>
      <c r="AE1468" s="631" t="s">
        <v>347</v>
      </c>
      <c r="AF1468" s="631"/>
      <c r="AG1468" s="631"/>
      <c r="AH1468" s="631"/>
      <c r="AI1468" s="631"/>
      <c r="AJ1468" s="631"/>
      <c r="AK1468" s="631"/>
      <c r="AL1468" s="631"/>
      <c r="AM1468" s="631"/>
      <c r="AN1468" s="663">
        <v>1865.6</v>
      </c>
      <c r="AO1468" s="663"/>
      <c r="AP1468" s="663"/>
      <c r="AQ1468" s="663"/>
      <c r="AR1468" s="663"/>
      <c r="AS1468" s="663"/>
      <c r="AT1468" s="45"/>
      <c r="AU1468" s="45"/>
      <c r="AW1468" s="35"/>
      <c r="AX1468" s="35"/>
    </row>
    <row r="1469" spans="1:50" x14ac:dyDescent="0.25">
      <c r="C1469" s="661"/>
      <c r="D1469" s="661"/>
      <c r="E1469" s="661"/>
      <c r="F1469" s="661"/>
      <c r="G1469" s="661"/>
      <c r="H1469" s="661"/>
      <c r="I1469" s="661"/>
      <c r="J1469" s="661"/>
      <c r="K1469" s="661"/>
      <c r="L1469" s="661"/>
      <c r="M1469" s="662" t="s">
        <v>344</v>
      </c>
      <c r="N1469" s="662"/>
      <c r="O1469" s="662"/>
      <c r="P1469" s="662"/>
      <c r="Q1469" s="662"/>
      <c r="R1469" s="662"/>
      <c r="S1469" s="662"/>
      <c r="T1469" s="662"/>
      <c r="U1469" s="662"/>
      <c r="V1469" s="662"/>
      <c r="W1469" s="662"/>
      <c r="X1469" s="662"/>
      <c r="Y1469" s="662"/>
      <c r="Z1469" s="662"/>
      <c r="AA1469" s="662"/>
      <c r="AB1469" s="662"/>
      <c r="AC1469" s="662"/>
      <c r="AD1469" s="662"/>
      <c r="AE1469" s="631" t="s">
        <v>348</v>
      </c>
      <c r="AF1469" s="631"/>
      <c r="AG1469" s="631"/>
      <c r="AH1469" s="631"/>
      <c r="AI1469" s="631"/>
      <c r="AJ1469" s="631"/>
      <c r="AK1469" s="631"/>
      <c r="AL1469" s="631"/>
      <c r="AM1469" s="631"/>
      <c r="AN1469" s="663">
        <v>1865.6</v>
      </c>
      <c r="AO1469" s="663"/>
      <c r="AP1469" s="663"/>
      <c r="AQ1469" s="663"/>
      <c r="AR1469" s="663"/>
      <c r="AS1469" s="663"/>
      <c r="AT1469" s="45"/>
      <c r="AU1469" s="45"/>
      <c r="AW1469" s="35"/>
      <c r="AX1469" s="35"/>
    </row>
    <row r="1470" spans="1:50" x14ac:dyDescent="0.25">
      <c r="C1470" s="661"/>
      <c r="D1470" s="661"/>
      <c r="E1470" s="661"/>
      <c r="F1470" s="661"/>
      <c r="G1470" s="661"/>
      <c r="H1470" s="661"/>
      <c r="I1470" s="661"/>
      <c r="J1470" s="661"/>
      <c r="K1470" s="661"/>
      <c r="L1470" s="661"/>
      <c r="M1470" s="662" t="s">
        <v>345</v>
      </c>
      <c r="N1470" s="662"/>
      <c r="O1470" s="662"/>
      <c r="P1470" s="662"/>
      <c r="Q1470" s="662"/>
      <c r="R1470" s="662"/>
      <c r="S1470" s="662"/>
      <c r="T1470" s="662"/>
      <c r="U1470" s="662"/>
      <c r="V1470" s="662"/>
      <c r="W1470" s="662"/>
      <c r="X1470" s="662"/>
      <c r="Y1470" s="662"/>
      <c r="Z1470" s="662"/>
      <c r="AA1470" s="662"/>
      <c r="AB1470" s="662"/>
      <c r="AC1470" s="662"/>
      <c r="AD1470" s="662"/>
      <c r="AE1470" s="631" t="s">
        <v>332</v>
      </c>
      <c r="AF1470" s="631"/>
      <c r="AG1470" s="631"/>
      <c r="AH1470" s="631"/>
      <c r="AI1470" s="631"/>
      <c r="AJ1470" s="631"/>
      <c r="AK1470" s="631"/>
      <c r="AL1470" s="631"/>
      <c r="AM1470" s="631"/>
      <c r="AN1470" s="663">
        <v>2082.9</v>
      </c>
      <c r="AO1470" s="663"/>
      <c r="AP1470" s="663"/>
      <c r="AQ1470" s="663"/>
      <c r="AR1470" s="663"/>
      <c r="AS1470" s="663"/>
      <c r="AT1470" s="45"/>
      <c r="AU1470" s="45"/>
      <c r="AW1470" s="35"/>
      <c r="AX1470" s="35"/>
    </row>
    <row r="1471" spans="1:50" x14ac:dyDescent="0.25">
      <c r="C1471" s="661"/>
      <c r="D1471" s="661"/>
      <c r="E1471" s="661"/>
      <c r="F1471" s="661"/>
      <c r="G1471" s="661"/>
      <c r="H1471" s="661"/>
      <c r="I1471" s="661"/>
      <c r="J1471" s="661"/>
      <c r="K1471" s="661"/>
      <c r="L1471" s="661"/>
      <c r="M1471" s="662" t="s">
        <v>346</v>
      </c>
      <c r="N1471" s="662"/>
      <c r="O1471" s="662"/>
      <c r="P1471" s="662"/>
      <c r="Q1471" s="662"/>
      <c r="R1471" s="662"/>
      <c r="S1471" s="662"/>
      <c r="T1471" s="662"/>
      <c r="U1471" s="662"/>
      <c r="V1471" s="662"/>
      <c r="W1471" s="662"/>
      <c r="X1471" s="662"/>
      <c r="Y1471" s="662"/>
      <c r="Z1471" s="662"/>
      <c r="AA1471" s="662"/>
      <c r="AB1471" s="662"/>
      <c r="AC1471" s="662"/>
      <c r="AD1471" s="662"/>
      <c r="AE1471" s="631" t="s">
        <v>349</v>
      </c>
      <c r="AF1471" s="631"/>
      <c r="AG1471" s="631"/>
      <c r="AH1471" s="631"/>
      <c r="AI1471" s="631"/>
      <c r="AJ1471" s="631"/>
      <c r="AK1471" s="631"/>
      <c r="AL1471" s="631"/>
      <c r="AM1471" s="631"/>
      <c r="AN1471" s="663">
        <v>2082.9</v>
      </c>
      <c r="AO1471" s="663"/>
      <c r="AP1471" s="663"/>
      <c r="AQ1471" s="663"/>
      <c r="AR1471" s="663"/>
      <c r="AS1471" s="663"/>
      <c r="AT1471" s="45"/>
      <c r="AU1471" s="45"/>
      <c r="AW1471" s="35"/>
      <c r="AX1471" s="35"/>
    </row>
    <row r="1472" spans="1:50" x14ac:dyDescent="0.25">
      <c r="C1472" s="661"/>
      <c r="D1472" s="661"/>
      <c r="E1472" s="661"/>
      <c r="F1472" s="661"/>
      <c r="G1472" s="661"/>
      <c r="H1472" s="661"/>
      <c r="I1472" s="661"/>
      <c r="J1472" s="661"/>
      <c r="K1472" s="661"/>
      <c r="L1472" s="661"/>
      <c r="M1472" s="662" t="s">
        <v>346</v>
      </c>
      <c r="N1472" s="662"/>
      <c r="O1472" s="662"/>
      <c r="P1472" s="662"/>
      <c r="Q1472" s="662"/>
      <c r="R1472" s="662"/>
      <c r="S1472" s="662"/>
      <c r="T1472" s="662"/>
      <c r="U1472" s="662"/>
      <c r="V1472" s="662"/>
      <c r="W1472" s="662"/>
      <c r="X1472" s="662"/>
      <c r="Y1472" s="662"/>
      <c r="Z1472" s="662"/>
      <c r="AA1472" s="662"/>
      <c r="AB1472" s="662"/>
      <c r="AC1472" s="662"/>
      <c r="AD1472" s="662"/>
      <c r="AE1472" s="631" t="s">
        <v>350</v>
      </c>
      <c r="AF1472" s="631"/>
      <c r="AG1472" s="631"/>
      <c r="AH1472" s="631"/>
      <c r="AI1472" s="631"/>
      <c r="AJ1472" s="631"/>
      <c r="AK1472" s="631"/>
      <c r="AL1472" s="631"/>
      <c r="AM1472" s="631"/>
      <c r="AN1472" s="670" t="s">
        <v>351</v>
      </c>
      <c r="AO1472" s="670"/>
      <c r="AP1472" s="670"/>
      <c r="AQ1472" s="670"/>
      <c r="AR1472" s="670"/>
      <c r="AS1472" s="670"/>
      <c r="AT1472" s="45"/>
      <c r="AU1472" s="45"/>
      <c r="AW1472" s="35"/>
      <c r="AX1472" s="35"/>
    </row>
    <row r="1473" spans="1:50" x14ac:dyDescent="0.25">
      <c r="C1473" s="661" t="s">
        <v>352</v>
      </c>
      <c r="D1473" s="661"/>
      <c r="E1473" s="661"/>
      <c r="F1473" s="661"/>
      <c r="G1473" s="661"/>
      <c r="H1473" s="661"/>
      <c r="I1473" s="661"/>
      <c r="J1473" s="661"/>
      <c r="K1473" s="661"/>
      <c r="L1473" s="661"/>
      <c r="M1473" s="664" t="s">
        <v>353</v>
      </c>
      <c r="N1473" s="665"/>
      <c r="O1473" s="665"/>
      <c r="P1473" s="665"/>
      <c r="Q1473" s="665"/>
      <c r="R1473" s="665"/>
      <c r="S1473" s="665"/>
      <c r="T1473" s="665"/>
      <c r="U1473" s="665"/>
      <c r="V1473" s="665"/>
      <c r="W1473" s="665"/>
      <c r="X1473" s="665"/>
      <c r="Y1473" s="665"/>
      <c r="Z1473" s="665"/>
      <c r="AA1473" s="665"/>
      <c r="AB1473" s="665"/>
      <c r="AC1473" s="665"/>
      <c r="AD1473" s="666"/>
      <c r="AE1473" s="637" t="s">
        <v>354</v>
      </c>
      <c r="AF1473" s="637"/>
      <c r="AG1473" s="637"/>
      <c r="AH1473" s="637"/>
      <c r="AI1473" s="637"/>
      <c r="AJ1473" s="637"/>
      <c r="AK1473" s="637"/>
      <c r="AL1473" s="637"/>
      <c r="AM1473" s="637"/>
      <c r="AN1473" s="636">
        <v>2363.8000000000002</v>
      </c>
      <c r="AO1473" s="636"/>
      <c r="AP1473" s="636"/>
      <c r="AQ1473" s="636"/>
      <c r="AR1473" s="636"/>
      <c r="AS1473" s="636"/>
      <c r="AT1473" s="45"/>
      <c r="AU1473" s="45"/>
      <c r="AW1473" s="35"/>
      <c r="AX1473" s="35"/>
    </row>
    <row r="1474" spans="1:50" x14ac:dyDescent="0.25">
      <c r="C1474" s="661"/>
      <c r="D1474" s="661"/>
      <c r="E1474" s="661"/>
      <c r="F1474" s="661"/>
      <c r="G1474" s="661"/>
      <c r="H1474" s="661"/>
      <c r="I1474" s="661"/>
      <c r="J1474" s="661"/>
      <c r="K1474" s="661"/>
      <c r="L1474" s="661"/>
      <c r="M1474" s="667"/>
      <c r="N1474" s="668"/>
      <c r="O1474" s="668"/>
      <c r="P1474" s="668"/>
      <c r="Q1474" s="668"/>
      <c r="R1474" s="668"/>
      <c r="S1474" s="668"/>
      <c r="T1474" s="668"/>
      <c r="U1474" s="668"/>
      <c r="V1474" s="668"/>
      <c r="W1474" s="668"/>
      <c r="X1474" s="668"/>
      <c r="Y1474" s="668"/>
      <c r="Z1474" s="668"/>
      <c r="AA1474" s="668"/>
      <c r="AB1474" s="668"/>
      <c r="AC1474" s="668"/>
      <c r="AD1474" s="669"/>
      <c r="AE1474" s="637" t="s">
        <v>355</v>
      </c>
      <c r="AF1474" s="637"/>
      <c r="AG1474" s="637"/>
      <c r="AH1474" s="637"/>
      <c r="AI1474" s="637"/>
      <c r="AJ1474" s="637"/>
      <c r="AK1474" s="637"/>
      <c r="AL1474" s="637"/>
      <c r="AM1474" s="637"/>
      <c r="AN1474" s="636" t="s">
        <v>356</v>
      </c>
      <c r="AO1474" s="636"/>
      <c r="AP1474" s="636"/>
      <c r="AQ1474" s="636"/>
      <c r="AR1474" s="636"/>
      <c r="AS1474" s="636"/>
      <c r="AT1474" s="45"/>
      <c r="AU1474" s="45"/>
      <c r="AW1474" s="35"/>
      <c r="AX1474" s="35"/>
    </row>
    <row r="1475" spans="1:50" x14ac:dyDescent="0.25">
      <c r="C1475" s="658" t="s">
        <v>375</v>
      </c>
      <c r="D1475" s="659"/>
      <c r="E1475" s="659"/>
      <c r="F1475" s="659"/>
      <c r="G1475" s="659"/>
      <c r="H1475" s="659"/>
      <c r="I1475" s="659"/>
      <c r="J1475" s="659"/>
      <c r="K1475" s="659"/>
      <c r="L1475" s="659"/>
      <c r="M1475" s="659"/>
      <c r="N1475" s="659"/>
      <c r="O1475" s="659"/>
      <c r="P1475" s="659"/>
      <c r="Q1475" s="659"/>
      <c r="R1475" s="659"/>
      <c r="S1475" s="659"/>
      <c r="T1475" s="659"/>
      <c r="U1475" s="659"/>
      <c r="V1475" s="659"/>
      <c r="W1475" s="659"/>
      <c r="X1475" s="659"/>
      <c r="Y1475" s="659"/>
      <c r="Z1475" s="659"/>
      <c r="AA1475" s="659"/>
      <c r="AB1475" s="659"/>
      <c r="AC1475" s="659"/>
      <c r="AD1475" s="659"/>
      <c r="AE1475" s="659"/>
      <c r="AF1475" s="659"/>
      <c r="AG1475" s="659"/>
      <c r="AH1475" s="659"/>
      <c r="AI1475" s="659"/>
      <c r="AJ1475" s="659"/>
      <c r="AK1475" s="659"/>
      <c r="AL1475" s="659"/>
      <c r="AM1475" s="659"/>
      <c r="AN1475" s="659"/>
      <c r="AO1475" s="659"/>
      <c r="AP1475" s="659"/>
      <c r="AQ1475" s="659"/>
      <c r="AR1475" s="659"/>
      <c r="AS1475" s="660"/>
      <c r="AT1475" s="45"/>
      <c r="AU1475" s="45"/>
      <c r="AW1475" s="35"/>
      <c r="AX1475" s="35"/>
    </row>
    <row r="1476" spans="1:50" ht="15" customHeight="1" x14ac:dyDescent="0.25">
      <c r="C1476" s="643" t="s">
        <v>359</v>
      </c>
      <c r="D1476" s="643"/>
      <c r="E1476" s="643"/>
      <c r="F1476" s="643"/>
      <c r="G1476" s="643"/>
      <c r="H1476" s="643"/>
      <c r="I1476" s="643"/>
      <c r="J1476" s="643"/>
      <c r="K1476" s="643"/>
      <c r="L1476" s="643"/>
      <c r="M1476" s="640" t="s">
        <v>343</v>
      </c>
      <c r="N1476" s="640"/>
      <c r="O1476" s="640"/>
      <c r="P1476" s="640"/>
      <c r="Q1476" s="640"/>
      <c r="R1476" s="640"/>
      <c r="S1476" s="640"/>
      <c r="T1476" s="640"/>
      <c r="U1476" s="640"/>
      <c r="V1476" s="640"/>
      <c r="W1476" s="640"/>
      <c r="X1476" s="640"/>
      <c r="Y1476" s="640"/>
      <c r="Z1476" s="640"/>
      <c r="AA1476" s="640"/>
      <c r="AB1476" s="640"/>
      <c r="AC1476" s="640"/>
      <c r="AD1476" s="640"/>
      <c r="AE1476" s="631" t="s">
        <v>347</v>
      </c>
      <c r="AF1476" s="631"/>
      <c r="AG1476" s="631"/>
      <c r="AH1476" s="631"/>
      <c r="AI1476" s="631"/>
      <c r="AJ1476" s="631"/>
      <c r="AK1476" s="631"/>
      <c r="AL1476" s="631"/>
      <c r="AM1476" s="631"/>
      <c r="AN1476" s="642">
        <v>943.4</v>
      </c>
      <c r="AO1476" s="642"/>
      <c r="AP1476" s="642"/>
      <c r="AQ1476" s="642"/>
      <c r="AR1476" s="642"/>
      <c r="AS1476" s="642"/>
      <c r="AT1476" s="45"/>
      <c r="AU1476" s="45"/>
      <c r="AW1476" s="35"/>
      <c r="AX1476" s="35"/>
    </row>
    <row r="1477" spans="1:50" ht="15" customHeight="1" x14ac:dyDescent="0.25">
      <c r="C1477" s="643"/>
      <c r="D1477" s="643"/>
      <c r="E1477" s="643"/>
      <c r="F1477" s="643"/>
      <c r="G1477" s="643"/>
      <c r="H1477" s="643"/>
      <c r="I1477" s="643"/>
      <c r="J1477" s="643"/>
      <c r="K1477" s="643"/>
      <c r="L1477" s="643"/>
      <c r="M1477" s="640" t="s">
        <v>344</v>
      </c>
      <c r="N1477" s="640"/>
      <c r="O1477" s="640"/>
      <c r="P1477" s="640"/>
      <c r="Q1477" s="640"/>
      <c r="R1477" s="640"/>
      <c r="S1477" s="640"/>
      <c r="T1477" s="640"/>
      <c r="U1477" s="640"/>
      <c r="V1477" s="640"/>
      <c r="W1477" s="640"/>
      <c r="X1477" s="640"/>
      <c r="Y1477" s="640"/>
      <c r="Z1477" s="640"/>
      <c r="AA1477" s="640"/>
      <c r="AB1477" s="640"/>
      <c r="AC1477" s="640"/>
      <c r="AD1477" s="640"/>
      <c r="AE1477" s="631" t="s">
        <v>348</v>
      </c>
      <c r="AF1477" s="631"/>
      <c r="AG1477" s="631"/>
      <c r="AH1477" s="631"/>
      <c r="AI1477" s="631"/>
      <c r="AJ1477" s="631"/>
      <c r="AK1477" s="631"/>
      <c r="AL1477" s="631"/>
      <c r="AM1477" s="631"/>
      <c r="AN1477" s="642">
        <v>943.4</v>
      </c>
      <c r="AO1477" s="642"/>
      <c r="AP1477" s="642"/>
      <c r="AQ1477" s="642"/>
      <c r="AR1477" s="642"/>
      <c r="AS1477" s="642"/>
      <c r="AT1477" s="45"/>
      <c r="AU1477" s="45"/>
      <c r="AW1477" s="35"/>
      <c r="AX1477" s="35"/>
    </row>
    <row r="1478" spans="1:50" ht="15" customHeight="1" x14ac:dyDescent="0.25">
      <c r="C1478" s="643"/>
      <c r="D1478" s="643"/>
      <c r="E1478" s="643"/>
      <c r="F1478" s="643"/>
      <c r="G1478" s="643"/>
      <c r="H1478" s="643"/>
      <c r="I1478" s="643"/>
      <c r="J1478" s="643"/>
      <c r="K1478" s="643"/>
      <c r="L1478" s="643"/>
      <c r="M1478" s="640" t="s">
        <v>345</v>
      </c>
      <c r="N1478" s="640"/>
      <c r="O1478" s="640"/>
      <c r="P1478" s="640"/>
      <c r="Q1478" s="640"/>
      <c r="R1478" s="640"/>
      <c r="S1478" s="640"/>
      <c r="T1478" s="640"/>
      <c r="U1478" s="640"/>
      <c r="V1478" s="640"/>
      <c r="W1478" s="640"/>
      <c r="X1478" s="640"/>
      <c r="Y1478" s="640"/>
      <c r="Z1478" s="640"/>
      <c r="AA1478" s="640"/>
      <c r="AB1478" s="640"/>
      <c r="AC1478" s="640"/>
      <c r="AD1478" s="640"/>
      <c r="AE1478" s="631" t="s">
        <v>332</v>
      </c>
      <c r="AF1478" s="631"/>
      <c r="AG1478" s="631"/>
      <c r="AH1478" s="631"/>
      <c r="AI1478" s="631"/>
      <c r="AJ1478" s="631"/>
      <c r="AK1478" s="631"/>
      <c r="AL1478" s="631"/>
      <c r="AM1478" s="631"/>
      <c r="AN1478" s="641">
        <v>1102.4000000000001</v>
      </c>
      <c r="AO1478" s="641"/>
      <c r="AP1478" s="641"/>
      <c r="AQ1478" s="641"/>
      <c r="AR1478" s="641"/>
      <c r="AS1478" s="641"/>
      <c r="AT1478" s="45"/>
      <c r="AU1478" s="45"/>
      <c r="AW1478" s="35"/>
      <c r="AX1478" s="35"/>
    </row>
    <row r="1479" spans="1:50" ht="15" customHeight="1" x14ac:dyDescent="0.25">
      <c r="C1479" s="643"/>
      <c r="D1479" s="643"/>
      <c r="E1479" s="643"/>
      <c r="F1479" s="643"/>
      <c r="G1479" s="643"/>
      <c r="H1479" s="643"/>
      <c r="I1479" s="643"/>
      <c r="J1479" s="643"/>
      <c r="K1479" s="643"/>
      <c r="L1479" s="643"/>
      <c r="M1479" s="640" t="s">
        <v>346</v>
      </c>
      <c r="N1479" s="640"/>
      <c r="O1479" s="640"/>
      <c r="P1479" s="640"/>
      <c r="Q1479" s="640"/>
      <c r="R1479" s="640"/>
      <c r="S1479" s="640"/>
      <c r="T1479" s="640"/>
      <c r="U1479" s="640"/>
      <c r="V1479" s="640"/>
      <c r="W1479" s="640"/>
      <c r="X1479" s="640"/>
      <c r="Y1479" s="640"/>
      <c r="Z1479" s="640"/>
      <c r="AA1479" s="640"/>
      <c r="AB1479" s="640"/>
      <c r="AC1479" s="640"/>
      <c r="AD1479" s="640"/>
      <c r="AE1479" s="631" t="s">
        <v>349</v>
      </c>
      <c r="AF1479" s="631"/>
      <c r="AG1479" s="631"/>
      <c r="AH1479" s="631"/>
      <c r="AI1479" s="631"/>
      <c r="AJ1479" s="631"/>
      <c r="AK1479" s="631"/>
      <c r="AL1479" s="631"/>
      <c r="AM1479" s="631"/>
      <c r="AN1479" s="641">
        <v>1102.4000000000001</v>
      </c>
      <c r="AO1479" s="641"/>
      <c r="AP1479" s="641"/>
      <c r="AQ1479" s="641"/>
      <c r="AR1479" s="641"/>
      <c r="AS1479" s="641"/>
      <c r="AT1479" s="45"/>
      <c r="AU1479" s="45"/>
      <c r="AW1479" s="35"/>
      <c r="AX1479" s="35"/>
    </row>
    <row r="1480" spans="1:50" ht="15" customHeight="1" x14ac:dyDescent="0.25">
      <c r="C1480" s="643"/>
      <c r="D1480" s="643"/>
      <c r="E1480" s="643"/>
      <c r="F1480" s="643"/>
      <c r="G1480" s="643"/>
      <c r="H1480" s="643"/>
      <c r="I1480" s="643"/>
      <c r="J1480" s="643"/>
      <c r="K1480" s="643"/>
      <c r="L1480" s="643"/>
      <c r="M1480" s="640" t="s">
        <v>346</v>
      </c>
      <c r="N1480" s="640"/>
      <c r="O1480" s="640"/>
      <c r="P1480" s="640"/>
      <c r="Q1480" s="640"/>
      <c r="R1480" s="640"/>
      <c r="S1480" s="640"/>
      <c r="T1480" s="640"/>
      <c r="U1480" s="640"/>
      <c r="V1480" s="640"/>
      <c r="W1480" s="640"/>
      <c r="X1480" s="640"/>
      <c r="Y1480" s="640"/>
      <c r="Z1480" s="640"/>
      <c r="AA1480" s="640"/>
      <c r="AB1480" s="640"/>
      <c r="AC1480" s="640"/>
      <c r="AD1480" s="640"/>
      <c r="AE1480" s="631" t="s">
        <v>350</v>
      </c>
      <c r="AF1480" s="631"/>
      <c r="AG1480" s="631"/>
      <c r="AH1480" s="631"/>
      <c r="AI1480" s="631"/>
      <c r="AJ1480" s="631"/>
      <c r="AK1480" s="631"/>
      <c r="AL1480" s="631"/>
      <c r="AM1480" s="631"/>
      <c r="AN1480" s="642" t="s">
        <v>357</v>
      </c>
      <c r="AO1480" s="642"/>
      <c r="AP1480" s="642"/>
      <c r="AQ1480" s="642"/>
      <c r="AR1480" s="642"/>
      <c r="AS1480" s="642"/>
      <c r="AT1480" s="45"/>
      <c r="AU1480" s="45"/>
      <c r="AW1480" s="35"/>
      <c r="AX1480" s="35"/>
    </row>
    <row r="1481" spans="1:50" x14ac:dyDescent="0.25">
      <c r="C1481" s="643" t="s">
        <v>358</v>
      </c>
      <c r="D1481" s="643"/>
      <c r="E1481" s="643"/>
      <c r="F1481" s="643"/>
      <c r="G1481" s="643"/>
      <c r="H1481" s="643"/>
      <c r="I1481" s="643"/>
      <c r="J1481" s="643"/>
      <c r="K1481" s="643"/>
      <c r="L1481" s="643"/>
      <c r="M1481" s="643" t="s">
        <v>360</v>
      </c>
      <c r="N1481" s="643"/>
      <c r="O1481" s="643"/>
      <c r="P1481" s="643"/>
      <c r="Q1481" s="643"/>
      <c r="R1481" s="643"/>
      <c r="S1481" s="643"/>
      <c r="T1481" s="643"/>
      <c r="U1481" s="643"/>
      <c r="V1481" s="643"/>
      <c r="W1481" s="643"/>
      <c r="X1481" s="643"/>
      <c r="Y1481" s="643"/>
      <c r="Z1481" s="643"/>
      <c r="AA1481" s="643"/>
      <c r="AB1481" s="643"/>
      <c r="AC1481" s="643"/>
      <c r="AD1481" s="643"/>
      <c r="AE1481" s="644" t="s">
        <v>354</v>
      </c>
      <c r="AF1481" s="644"/>
      <c r="AG1481" s="644"/>
      <c r="AH1481" s="644"/>
      <c r="AI1481" s="644"/>
      <c r="AJ1481" s="644"/>
      <c r="AK1481" s="644"/>
      <c r="AL1481" s="644"/>
      <c r="AM1481" s="644"/>
      <c r="AN1481" s="639">
        <v>1314.4</v>
      </c>
      <c r="AO1481" s="639"/>
      <c r="AP1481" s="639"/>
      <c r="AQ1481" s="639"/>
      <c r="AR1481" s="639"/>
      <c r="AS1481" s="639"/>
      <c r="AT1481" s="45"/>
      <c r="AU1481" s="45"/>
      <c r="AW1481" s="35"/>
      <c r="AX1481" s="35"/>
    </row>
    <row r="1482" spans="1:50" x14ac:dyDescent="0.25">
      <c r="C1482" s="643"/>
      <c r="D1482" s="643"/>
      <c r="E1482" s="643"/>
      <c r="F1482" s="643"/>
      <c r="G1482" s="643"/>
      <c r="H1482" s="643"/>
      <c r="I1482" s="643"/>
      <c r="J1482" s="643"/>
      <c r="K1482" s="643"/>
      <c r="L1482" s="643"/>
      <c r="M1482" s="643"/>
      <c r="N1482" s="643"/>
      <c r="O1482" s="643"/>
      <c r="P1482" s="643"/>
      <c r="Q1482" s="643"/>
      <c r="R1482" s="643"/>
      <c r="S1482" s="643"/>
      <c r="T1482" s="643"/>
      <c r="U1482" s="643"/>
      <c r="V1482" s="643"/>
      <c r="W1482" s="643"/>
      <c r="X1482" s="643"/>
      <c r="Y1482" s="643"/>
      <c r="Z1482" s="643"/>
      <c r="AA1482" s="643"/>
      <c r="AB1482" s="643"/>
      <c r="AC1482" s="643"/>
      <c r="AD1482" s="643"/>
      <c r="AE1482" s="644" t="s">
        <v>361</v>
      </c>
      <c r="AF1482" s="644"/>
      <c r="AG1482" s="644"/>
      <c r="AH1482" s="644"/>
      <c r="AI1482" s="644"/>
      <c r="AJ1482" s="644"/>
      <c r="AK1482" s="644"/>
      <c r="AL1482" s="644"/>
      <c r="AM1482" s="644"/>
      <c r="AN1482" s="639" t="s">
        <v>362</v>
      </c>
      <c r="AO1482" s="639"/>
      <c r="AP1482" s="639"/>
      <c r="AQ1482" s="639"/>
      <c r="AR1482" s="639"/>
      <c r="AS1482" s="639"/>
      <c r="AT1482" s="45"/>
      <c r="AU1482" s="45"/>
      <c r="AW1482" s="35"/>
      <c r="AX1482" s="35"/>
    </row>
    <row r="1483" spans="1:50" x14ac:dyDescent="0.25">
      <c r="AW1483" s="35"/>
      <c r="AX1483" s="35"/>
    </row>
    <row r="1484" spans="1:50" s="57" customFormat="1" ht="15.75" x14ac:dyDescent="0.25">
      <c r="A1484" s="56"/>
      <c r="B1484" s="56"/>
      <c r="C1484" s="42" t="s">
        <v>379</v>
      </c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</row>
    <row r="1485" spans="1:50" x14ac:dyDescent="0.25">
      <c r="C1485" s="656" t="s">
        <v>80</v>
      </c>
      <c r="D1485" s="656"/>
      <c r="E1485" s="656"/>
      <c r="F1485" s="656"/>
      <c r="G1485" s="656"/>
      <c r="H1485" s="656"/>
      <c r="I1485" s="656"/>
      <c r="J1485" s="656"/>
      <c r="K1485" s="656"/>
      <c r="L1485" s="656"/>
      <c r="M1485" s="656" t="s">
        <v>161</v>
      </c>
      <c r="N1485" s="656"/>
      <c r="O1485" s="656"/>
      <c r="P1485" s="656"/>
      <c r="Q1485" s="656"/>
      <c r="R1485" s="656"/>
      <c r="S1485" s="656"/>
      <c r="T1485" s="656"/>
      <c r="U1485" s="656"/>
      <c r="V1485" s="656"/>
      <c r="W1485" s="656"/>
      <c r="X1485" s="656"/>
      <c r="Y1485" s="656"/>
      <c r="Z1485" s="656"/>
      <c r="AA1485" s="656"/>
      <c r="AB1485" s="656"/>
      <c r="AC1485" s="656"/>
      <c r="AD1485" s="656"/>
      <c r="AE1485" s="656" t="s">
        <v>549</v>
      </c>
      <c r="AF1485" s="656"/>
      <c r="AG1485" s="656"/>
      <c r="AH1485" s="656"/>
      <c r="AI1485" s="656"/>
      <c r="AJ1485" s="656"/>
      <c r="AK1485" s="656"/>
      <c r="AL1485" s="656"/>
      <c r="AM1485" s="656"/>
      <c r="AN1485" s="485" t="s">
        <v>907</v>
      </c>
      <c r="AO1485" s="485"/>
      <c r="AP1485" s="485"/>
      <c r="AQ1485" s="485"/>
      <c r="AR1485" s="485"/>
      <c r="AS1485" s="485"/>
      <c r="AW1485" s="35"/>
      <c r="AX1485" s="35"/>
    </row>
    <row r="1486" spans="1:50" x14ac:dyDescent="0.25">
      <c r="C1486" s="632" t="s">
        <v>381</v>
      </c>
      <c r="D1486" s="633"/>
      <c r="E1486" s="633"/>
      <c r="F1486" s="633"/>
      <c r="G1486" s="633"/>
      <c r="H1486" s="633"/>
      <c r="I1486" s="633"/>
      <c r="J1486" s="633"/>
      <c r="K1486" s="633"/>
      <c r="L1486" s="633"/>
      <c r="M1486" s="633"/>
      <c r="N1486" s="633"/>
      <c r="O1486" s="633"/>
      <c r="P1486" s="633"/>
      <c r="Q1486" s="633"/>
      <c r="R1486" s="633"/>
      <c r="S1486" s="633"/>
      <c r="T1486" s="633"/>
      <c r="U1486" s="633"/>
      <c r="V1486" s="633"/>
      <c r="W1486" s="633"/>
      <c r="X1486" s="633"/>
      <c r="Y1486" s="633"/>
      <c r="Z1486" s="633"/>
      <c r="AA1486" s="633"/>
      <c r="AB1486" s="633"/>
      <c r="AC1486" s="633"/>
      <c r="AD1486" s="633"/>
      <c r="AE1486" s="633"/>
      <c r="AF1486" s="633"/>
      <c r="AG1486" s="633"/>
      <c r="AH1486" s="633"/>
      <c r="AI1486" s="633"/>
      <c r="AJ1486" s="633"/>
      <c r="AK1486" s="633"/>
      <c r="AL1486" s="633"/>
      <c r="AM1486" s="633"/>
      <c r="AN1486" s="633"/>
      <c r="AO1486" s="633"/>
      <c r="AP1486" s="633"/>
      <c r="AQ1486" s="633"/>
      <c r="AR1486" s="633"/>
      <c r="AS1486" s="634"/>
      <c r="AT1486" s="93"/>
      <c r="AU1486" s="94"/>
      <c r="AW1486" s="35"/>
      <c r="AX1486" s="35"/>
    </row>
    <row r="1487" spans="1:50" ht="30" customHeight="1" x14ac:dyDescent="0.25">
      <c r="C1487" s="640" t="s">
        <v>363</v>
      </c>
      <c r="D1487" s="640"/>
      <c r="E1487" s="640"/>
      <c r="F1487" s="640"/>
      <c r="G1487" s="640"/>
      <c r="H1487" s="640"/>
      <c r="I1487" s="640"/>
      <c r="J1487" s="640"/>
      <c r="K1487" s="640"/>
      <c r="L1487" s="640"/>
      <c r="M1487" s="640" t="s">
        <v>367</v>
      </c>
      <c r="N1487" s="640"/>
      <c r="O1487" s="640"/>
      <c r="P1487" s="640"/>
      <c r="Q1487" s="640"/>
      <c r="R1487" s="640"/>
      <c r="S1487" s="640"/>
      <c r="T1487" s="640"/>
      <c r="U1487" s="640"/>
      <c r="V1487" s="640"/>
      <c r="W1487" s="640"/>
      <c r="X1487" s="640"/>
      <c r="Y1487" s="640"/>
      <c r="Z1487" s="640"/>
      <c r="AA1487" s="640"/>
      <c r="AB1487" s="640"/>
      <c r="AC1487" s="640"/>
      <c r="AD1487" s="640"/>
      <c r="AE1487" s="640" t="s">
        <v>369</v>
      </c>
      <c r="AF1487" s="640"/>
      <c r="AG1487" s="640"/>
      <c r="AH1487" s="640"/>
      <c r="AI1487" s="640"/>
      <c r="AJ1487" s="640"/>
      <c r="AK1487" s="640"/>
      <c r="AL1487" s="640"/>
      <c r="AM1487" s="640"/>
      <c r="AN1487" s="352" t="s">
        <v>881</v>
      </c>
      <c r="AO1487" s="353"/>
      <c r="AP1487" s="353"/>
      <c r="AQ1487" s="353"/>
      <c r="AR1487" s="353"/>
      <c r="AS1487" s="354"/>
      <c r="AT1487" s="45"/>
      <c r="AU1487" s="45"/>
      <c r="AW1487" s="35"/>
      <c r="AX1487" s="35"/>
    </row>
    <row r="1488" spans="1:50" ht="30" customHeight="1" x14ac:dyDescent="0.25">
      <c r="C1488" s="640" t="s">
        <v>364</v>
      </c>
      <c r="D1488" s="640"/>
      <c r="E1488" s="640"/>
      <c r="F1488" s="640"/>
      <c r="G1488" s="640"/>
      <c r="H1488" s="640"/>
      <c r="I1488" s="640"/>
      <c r="J1488" s="640"/>
      <c r="K1488" s="640"/>
      <c r="L1488" s="640"/>
      <c r="M1488" s="640" t="s">
        <v>345</v>
      </c>
      <c r="N1488" s="640"/>
      <c r="O1488" s="640"/>
      <c r="P1488" s="640"/>
      <c r="Q1488" s="640"/>
      <c r="R1488" s="640"/>
      <c r="S1488" s="640"/>
      <c r="T1488" s="640"/>
      <c r="U1488" s="640"/>
      <c r="V1488" s="640"/>
      <c r="W1488" s="640"/>
      <c r="X1488" s="640"/>
      <c r="Y1488" s="640"/>
      <c r="Z1488" s="640"/>
      <c r="AA1488" s="640"/>
      <c r="AB1488" s="640"/>
      <c r="AC1488" s="640"/>
      <c r="AD1488" s="640"/>
      <c r="AE1488" s="640" t="s">
        <v>370</v>
      </c>
      <c r="AF1488" s="640"/>
      <c r="AG1488" s="640"/>
      <c r="AH1488" s="640"/>
      <c r="AI1488" s="640"/>
      <c r="AJ1488" s="640"/>
      <c r="AK1488" s="640"/>
      <c r="AL1488" s="640"/>
      <c r="AM1488" s="640"/>
      <c r="AN1488" s="352" t="s">
        <v>881</v>
      </c>
      <c r="AO1488" s="353"/>
      <c r="AP1488" s="353"/>
      <c r="AQ1488" s="353"/>
      <c r="AR1488" s="353"/>
      <c r="AS1488" s="354"/>
      <c r="AT1488" s="45"/>
      <c r="AU1488" s="45"/>
      <c r="AW1488" s="35"/>
      <c r="AX1488" s="35"/>
    </row>
    <row r="1489" spans="1:50" ht="15" customHeight="1" x14ac:dyDescent="0.25">
      <c r="C1489" s="632" t="s">
        <v>378</v>
      </c>
      <c r="D1489" s="633"/>
      <c r="E1489" s="633"/>
      <c r="F1489" s="633"/>
      <c r="G1489" s="633"/>
      <c r="H1489" s="633"/>
      <c r="I1489" s="633"/>
      <c r="J1489" s="633"/>
      <c r="K1489" s="633"/>
      <c r="L1489" s="633"/>
      <c r="M1489" s="633"/>
      <c r="N1489" s="633"/>
      <c r="O1489" s="633"/>
      <c r="P1489" s="633"/>
      <c r="Q1489" s="633"/>
      <c r="R1489" s="633"/>
      <c r="S1489" s="633"/>
      <c r="T1489" s="633"/>
      <c r="U1489" s="633"/>
      <c r="V1489" s="633"/>
      <c r="W1489" s="633"/>
      <c r="X1489" s="633"/>
      <c r="Y1489" s="633"/>
      <c r="Z1489" s="633"/>
      <c r="AA1489" s="633"/>
      <c r="AB1489" s="633"/>
      <c r="AC1489" s="633"/>
      <c r="AD1489" s="633"/>
      <c r="AE1489" s="633"/>
      <c r="AF1489" s="633"/>
      <c r="AG1489" s="633"/>
      <c r="AH1489" s="633"/>
      <c r="AI1489" s="633"/>
      <c r="AJ1489" s="633"/>
      <c r="AK1489" s="633"/>
      <c r="AL1489" s="633"/>
      <c r="AM1489" s="633"/>
      <c r="AN1489" s="633"/>
      <c r="AO1489" s="633"/>
      <c r="AP1489" s="633"/>
      <c r="AQ1489" s="633"/>
      <c r="AR1489" s="633"/>
      <c r="AS1489" s="634"/>
      <c r="AT1489" s="45"/>
      <c r="AU1489" s="45"/>
      <c r="AW1489" s="35"/>
      <c r="AX1489" s="35"/>
    </row>
    <row r="1490" spans="1:50" ht="30" customHeight="1" x14ac:dyDescent="0.25">
      <c r="C1490" s="640" t="s">
        <v>365</v>
      </c>
      <c r="D1490" s="640"/>
      <c r="E1490" s="640"/>
      <c r="F1490" s="640"/>
      <c r="G1490" s="640"/>
      <c r="H1490" s="640"/>
      <c r="I1490" s="640"/>
      <c r="J1490" s="640"/>
      <c r="K1490" s="640"/>
      <c r="L1490" s="640"/>
      <c r="M1490" s="640" t="s">
        <v>368</v>
      </c>
      <c r="N1490" s="640"/>
      <c r="O1490" s="640"/>
      <c r="P1490" s="640"/>
      <c r="Q1490" s="640"/>
      <c r="R1490" s="640"/>
      <c r="S1490" s="640"/>
      <c r="T1490" s="640"/>
      <c r="U1490" s="640"/>
      <c r="V1490" s="640"/>
      <c r="W1490" s="640"/>
      <c r="X1490" s="640"/>
      <c r="Y1490" s="640"/>
      <c r="Z1490" s="640"/>
      <c r="AA1490" s="640"/>
      <c r="AB1490" s="640"/>
      <c r="AC1490" s="640"/>
      <c r="AD1490" s="640"/>
      <c r="AE1490" s="640" t="s">
        <v>369</v>
      </c>
      <c r="AF1490" s="640"/>
      <c r="AG1490" s="640"/>
      <c r="AH1490" s="640"/>
      <c r="AI1490" s="640"/>
      <c r="AJ1490" s="640"/>
      <c r="AK1490" s="640"/>
      <c r="AL1490" s="640"/>
      <c r="AM1490" s="640"/>
      <c r="AN1490" s="352" t="s">
        <v>881</v>
      </c>
      <c r="AO1490" s="353"/>
      <c r="AP1490" s="353"/>
      <c r="AQ1490" s="353"/>
      <c r="AR1490" s="353"/>
      <c r="AS1490" s="354"/>
      <c r="AT1490" s="45"/>
      <c r="AU1490" s="45"/>
      <c r="AW1490" s="35"/>
      <c r="AX1490" s="35"/>
    </row>
    <row r="1491" spans="1:50" ht="30" customHeight="1" x14ac:dyDescent="0.25">
      <c r="C1491" s="640" t="s">
        <v>366</v>
      </c>
      <c r="D1491" s="640"/>
      <c r="E1491" s="640"/>
      <c r="F1491" s="640"/>
      <c r="G1491" s="640"/>
      <c r="H1491" s="640"/>
      <c r="I1491" s="640"/>
      <c r="J1491" s="640"/>
      <c r="K1491" s="640"/>
      <c r="L1491" s="640"/>
      <c r="M1491" s="640" t="s">
        <v>345</v>
      </c>
      <c r="N1491" s="640"/>
      <c r="O1491" s="640"/>
      <c r="P1491" s="640"/>
      <c r="Q1491" s="640"/>
      <c r="R1491" s="640"/>
      <c r="S1491" s="640"/>
      <c r="T1491" s="640"/>
      <c r="U1491" s="640"/>
      <c r="V1491" s="640"/>
      <c r="W1491" s="640"/>
      <c r="X1491" s="640"/>
      <c r="Y1491" s="640"/>
      <c r="Z1491" s="640"/>
      <c r="AA1491" s="640"/>
      <c r="AB1491" s="640"/>
      <c r="AC1491" s="640"/>
      <c r="AD1491" s="640"/>
      <c r="AE1491" s="640" t="s">
        <v>370</v>
      </c>
      <c r="AF1491" s="640"/>
      <c r="AG1491" s="640"/>
      <c r="AH1491" s="640"/>
      <c r="AI1491" s="640"/>
      <c r="AJ1491" s="640"/>
      <c r="AK1491" s="640"/>
      <c r="AL1491" s="640"/>
      <c r="AM1491" s="640"/>
      <c r="AN1491" s="352" t="s">
        <v>881</v>
      </c>
      <c r="AO1491" s="353"/>
      <c r="AP1491" s="353"/>
      <c r="AQ1491" s="353"/>
      <c r="AR1491" s="353"/>
      <c r="AS1491" s="354"/>
      <c r="AT1491" s="45"/>
      <c r="AU1491" s="45"/>
      <c r="AW1491" s="35"/>
      <c r="AX1491" s="35"/>
    </row>
    <row r="1492" spans="1:50" ht="13.5" customHeight="1" x14ac:dyDescent="0.25">
      <c r="C1492" s="75"/>
      <c r="D1492" s="75"/>
      <c r="E1492" s="75"/>
      <c r="F1492" s="75"/>
      <c r="G1492" s="75"/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  <c r="T1492" s="75"/>
      <c r="U1492" s="75"/>
      <c r="V1492" s="75"/>
      <c r="W1492" s="75"/>
      <c r="X1492" s="75"/>
      <c r="Y1492" s="75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5"/>
      <c r="AN1492" s="76"/>
      <c r="AO1492" s="76"/>
      <c r="AP1492" s="76"/>
      <c r="AQ1492" s="76"/>
      <c r="AR1492" s="76"/>
      <c r="AS1492" s="76"/>
      <c r="AT1492" s="47"/>
      <c r="AU1492" s="47"/>
      <c r="AW1492" s="35"/>
      <c r="AX1492" s="35"/>
    </row>
    <row r="1493" spans="1:50" ht="13.5" customHeight="1" x14ac:dyDescent="0.2">
      <c r="A1493" s="78"/>
      <c r="B1493" s="78"/>
      <c r="C1493" s="673" t="s">
        <v>727</v>
      </c>
      <c r="D1493" s="673"/>
      <c r="E1493" s="673"/>
      <c r="F1493" s="673"/>
      <c r="G1493" s="673"/>
      <c r="H1493" s="673"/>
      <c r="I1493" s="673"/>
      <c r="J1493" s="673"/>
      <c r="K1493" s="673"/>
      <c r="L1493" s="673"/>
      <c r="M1493" s="673"/>
      <c r="N1493" s="673"/>
      <c r="O1493" s="673"/>
      <c r="P1493" s="673"/>
      <c r="Q1493" s="673"/>
      <c r="R1493" s="673"/>
      <c r="S1493" s="673"/>
      <c r="T1493" s="673"/>
      <c r="U1493" s="673"/>
      <c r="V1493" s="673"/>
      <c r="W1493" s="673"/>
      <c r="X1493" s="673"/>
      <c r="Y1493" s="673"/>
      <c r="Z1493" s="673"/>
      <c r="AA1493" s="673"/>
      <c r="AB1493" s="673"/>
      <c r="AC1493" s="673"/>
      <c r="AD1493" s="673"/>
      <c r="AE1493" s="673"/>
      <c r="AF1493" s="673"/>
      <c r="AG1493" s="673"/>
      <c r="AH1493" s="673"/>
      <c r="AI1493" s="673"/>
      <c r="AJ1493" s="673"/>
      <c r="AK1493" s="673"/>
      <c r="AL1493" s="673"/>
      <c r="AM1493" s="673"/>
      <c r="AN1493" s="77"/>
      <c r="AO1493" s="77"/>
      <c r="AP1493" s="77"/>
      <c r="AQ1493" s="77"/>
      <c r="AR1493" s="77"/>
      <c r="AS1493" s="77"/>
      <c r="AT1493" s="47"/>
      <c r="AU1493" s="47"/>
      <c r="AW1493" s="35"/>
      <c r="AX1493" s="35"/>
    </row>
    <row r="1494" spans="1:50" ht="13.5" customHeight="1" x14ac:dyDescent="0.25"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76"/>
      <c r="AO1494" s="76"/>
      <c r="AP1494" s="76"/>
      <c r="AQ1494" s="76"/>
      <c r="AR1494" s="76"/>
      <c r="AS1494" s="76"/>
      <c r="AT1494" s="47"/>
      <c r="AU1494" s="47"/>
      <c r="AW1494" s="35"/>
      <c r="AX1494" s="35"/>
    </row>
    <row r="1495" spans="1:50" ht="13.5" customHeight="1" x14ac:dyDescent="0.25">
      <c r="C1495" s="433" t="s">
        <v>725</v>
      </c>
      <c r="D1495" s="433"/>
      <c r="E1495" s="433"/>
      <c r="F1495" s="433"/>
      <c r="G1495" s="433"/>
      <c r="H1495" s="433"/>
      <c r="I1495" s="433"/>
      <c r="J1495" s="433"/>
      <c r="K1495" s="433"/>
      <c r="L1495" s="433"/>
      <c r="M1495" s="433"/>
      <c r="N1495" s="433"/>
      <c r="O1495" s="433"/>
      <c r="P1495" s="433"/>
      <c r="Q1495" s="433"/>
      <c r="R1495" s="433"/>
      <c r="S1495" s="433"/>
      <c r="T1495" s="433"/>
      <c r="U1495" s="433"/>
      <c r="V1495" s="433"/>
      <c r="W1495" s="433"/>
      <c r="X1495" s="433"/>
      <c r="Y1495" s="433"/>
      <c r="Z1495" s="671" t="s">
        <v>549</v>
      </c>
      <c r="AA1495" s="671"/>
      <c r="AB1495" s="671"/>
      <c r="AC1495" s="671"/>
      <c r="AD1495" s="671"/>
      <c r="AE1495" s="671" t="s">
        <v>724</v>
      </c>
      <c r="AF1495" s="671"/>
      <c r="AG1495" s="671"/>
      <c r="AH1495" s="671"/>
      <c r="AI1495" s="671"/>
      <c r="AJ1495" s="671"/>
      <c r="AK1495" s="671"/>
      <c r="AL1495" s="671"/>
      <c r="AM1495" s="671"/>
      <c r="AN1495" s="346" t="s">
        <v>907</v>
      </c>
      <c r="AO1495" s="346"/>
      <c r="AP1495" s="346"/>
      <c r="AQ1495" s="346"/>
      <c r="AR1495" s="346"/>
      <c r="AS1495" s="346"/>
      <c r="AT1495" s="47"/>
      <c r="AU1495" s="47"/>
      <c r="AW1495" s="35"/>
      <c r="AX1495" s="35"/>
    </row>
    <row r="1496" spans="1:50" ht="13.5" customHeight="1" x14ac:dyDescent="0.25">
      <c r="C1496" s="645" t="s">
        <v>607</v>
      </c>
      <c r="D1496" s="645"/>
      <c r="E1496" s="645"/>
      <c r="F1496" s="645"/>
      <c r="G1496" s="645"/>
      <c r="H1496" s="645"/>
      <c r="I1496" s="645"/>
      <c r="J1496" s="645"/>
      <c r="K1496" s="645"/>
      <c r="L1496" s="645"/>
      <c r="M1496" s="645"/>
      <c r="N1496" s="645"/>
      <c r="O1496" s="645"/>
      <c r="P1496" s="645"/>
      <c r="Q1496" s="645"/>
      <c r="R1496" s="645"/>
      <c r="S1496" s="645"/>
      <c r="T1496" s="645"/>
      <c r="U1496" s="645"/>
      <c r="V1496" s="645"/>
      <c r="W1496" s="645"/>
      <c r="X1496" s="645"/>
      <c r="Y1496" s="645"/>
      <c r="Z1496" s="454" t="s">
        <v>637</v>
      </c>
      <c r="AA1496" s="454"/>
      <c r="AB1496" s="454"/>
      <c r="AC1496" s="454"/>
      <c r="AD1496" s="454"/>
      <c r="AE1496" s="635" t="s">
        <v>635</v>
      </c>
      <c r="AF1496" s="635"/>
      <c r="AG1496" s="635"/>
      <c r="AH1496" s="635"/>
      <c r="AI1496" s="635"/>
      <c r="AJ1496" s="635"/>
      <c r="AK1496" s="635"/>
      <c r="AL1496" s="635"/>
      <c r="AM1496" s="635"/>
      <c r="AN1496" s="352" t="s">
        <v>881</v>
      </c>
      <c r="AO1496" s="353"/>
      <c r="AP1496" s="353"/>
      <c r="AQ1496" s="353"/>
      <c r="AR1496" s="353"/>
      <c r="AS1496" s="354"/>
      <c r="AT1496" s="47"/>
      <c r="AU1496" s="47"/>
      <c r="AW1496" s="249"/>
      <c r="AX1496" s="35"/>
    </row>
    <row r="1497" spans="1:50" ht="13.5" customHeight="1" x14ac:dyDescent="0.25">
      <c r="C1497" s="645" t="s">
        <v>606</v>
      </c>
      <c r="D1497" s="645"/>
      <c r="E1497" s="645"/>
      <c r="F1497" s="645"/>
      <c r="G1497" s="645"/>
      <c r="H1497" s="645"/>
      <c r="I1497" s="645"/>
      <c r="J1497" s="645"/>
      <c r="K1497" s="645"/>
      <c r="L1497" s="645"/>
      <c r="M1497" s="645"/>
      <c r="N1497" s="645"/>
      <c r="O1497" s="645"/>
      <c r="P1497" s="645"/>
      <c r="Q1497" s="645"/>
      <c r="R1497" s="645"/>
      <c r="S1497" s="645"/>
      <c r="T1497" s="645"/>
      <c r="U1497" s="645"/>
      <c r="V1497" s="645"/>
      <c r="W1497" s="645"/>
      <c r="X1497" s="645"/>
      <c r="Y1497" s="645"/>
      <c r="Z1497" s="454" t="s">
        <v>638</v>
      </c>
      <c r="AA1497" s="454"/>
      <c r="AB1497" s="454"/>
      <c r="AC1497" s="454"/>
      <c r="AD1497" s="454"/>
      <c r="AE1497" s="635" t="s">
        <v>635</v>
      </c>
      <c r="AF1497" s="635"/>
      <c r="AG1497" s="635"/>
      <c r="AH1497" s="635"/>
      <c r="AI1497" s="635"/>
      <c r="AJ1497" s="635"/>
      <c r="AK1497" s="635"/>
      <c r="AL1497" s="635"/>
      <c r="AM1497" s="635"/>
      <c r="AN1497" s="352" t="s">
        <v>881</v>
      </c>
      <c r="AO1497" s="353"/>
      <c r="AP1497" s="353"/>
      <c r="AQ1497" s="353"/>
      <c r="AR1497" s="353"/>
      <c r="AS1497" s="354"/>
      <c r="AT1497" s="47"/>
      <c r="AU1497" s="47"/>
      <c r="AW1497" s="249"/>
      <c r="AX1497" s="35"/>
    </row>
    <row r="1498" spans="1:50" ht="13.5" customHeight="1" x14ac:dyDescent="0.25">
      <c r="C1498" s="645" t="s">
        <v>605</v>
      </c>
      <c r="D1498" s="645"/>
      <c r="E1498" s="645"/>
      <c r="F1498" s="645"/>
      <c r="G1498" s="645"/>
      <c r="H1498" s="645"/>
      <c r="I1498" s="645"/>
      <c r="J1498" s="645"/>
      <c r="K1498" s="645"/>
      <c r="L1498" s="645"/>
      <c r="M1498" s="645"/>
      <c r="N1498" s="645"/>
      <c r="O1498" s="645"/>
      <c r="P1498" s="645"/>
      <c r="Q1498" s="645"/>
      <c r="R1498" s="645"/>
      <c r="S1498" s="645"/>
      <c r="T1498" s="645"/>
      <c r="U1498" s="645"/>
      <c r="V1498" s="645"/>
      <c r="W1498" s="645"/>
      <c r="X1498" s="645"/>
      <c r="Y1498" s="645"/>
      <c r="Z1498" s="454" t="s">
        <v>638</v>
      </c>
      <c r="AA1498" s="454"/>
      <c r="AB1498" s="454"/>
      <c r="AC1498" s="454"/>
      <c r="AD1498" s="454"/>
      <c r="AE1498" s="635" t="s">
        <v>635</v>
      </c>
      <c r="AF1498" s="635"/>
      <c r="AG1498" s="635"/>
      <c r="AH1498" s="635"/>
      <c r="AI1498" s="635"/>
      <c r="AJ1498" s="635"/>
      <c r="AK1498" s="635"/>
      <c r="AL1498" s="635"/>
      <c r="AM1498" s="635"/>
      <c r="AN1498" s="352" t="s">
        <v>881</v>
      </c>
      <c r="AO1498" s="353"/>
      <c r="AP1498" s="353"/>
      <c r="AQ1498" s="353"/>
      <c r="AR1498" s="353"/>
      <c r="AS1498" s="354"/>
      <c r="AT1498" s="47"/>
      <c r="AU1498" s="47"/>
      <c r="AW1498" s="249"/>
      <c r="AX1498" s="35"/>
    </row>
    <row r="1499" spans="1:50" ht="13.5" customHeight="1" x14ac:dyDescent="0.25">
      <c r="C1499" s="645" t="s">
        <v>611</v>
      </c>
      <c r="D1499" s="645"/>
      <c r="E1499" s="645"/>
      <c r="F1499" s="645"/>
      <c r="G1499" s="645"/>
      <c r="H1499" s="645"/>
      <c r="I1499" s="645"/>
      <c r="J1499" s="645"/>
      <c r="K1499" s="645"/>
      <c r="L1499" s="645"/>
      <c r="M1499" s="645"/>
      <c r="N1499" s="645"/>
      <c r="O1499" s="645"/>
      <c r="P1499" s="645"/>
      <c r="Q1499" s="645"/>
      <c r="R1499" s="645"/>
      <c r="S1499" s="645"/>
      <c r="T1499" s="645"/>
      <c r="U1499" s="645"/>
      <c r="V1499" s="645"/>
      <c r="W1499" s="645"/>
      <c r="X1499" s="645"/>
      <c r="Y1499" s="645"/>
      <c r="Z1499" s="454" t="s">
        <v>638</v>
      </c>
      <c r="AA1499" s="454"/>
      <c r="AB1499" s="454"/>
      <c r="AC1499" s="454"/>
      <c r="AD1499" s="454"/>
      <c r="AE1499" s="635" t="s">
        <v>636</v>
      </c>
      <c r="AF1499" s="635"/>
      <c r="AG1499" s="635"/>
      <c r="AH1499" s="635"/>
      <c r="AI1499" s="635"/>
      <c r="AJ1499" s="635"/>
      <c r="AK1499" s="635"/>
      <c r="AL1499" s="635"/>
      <c r="AM1499" s="635"/>
      <c r="AN1499" s="352" t="s">
        <v>881</v>
      </c>
      <c r="AO1499" s="353"/>
      <c r="AP1499" s="353"/>
      <c r="AQ1499" s="353"/>
      <c r="AR1499" s="353"/>
      <c r="AS1499" s="354"/>
      <c r="AT1499" s="47"/>
      <c r="AU1499" s="47"/>
      <c r="AW1499" s="249"/>
      <c r="AX1499" s="35"/>
    </row>
    <row r="1500" spans="1:50" ht="13.5" customHeight="1" x14ac:dyDescent="0.25">
      <c r="C1500" s="645" t="s">
        <v>604</v>
      </c>
      <c r="D1500" s="645"/>
      <c r="E1500" s="645"/>
      <c r="F1500" s="645"/>
      <c r="G1500" s="645"/>
      <c r="H1500" s="645"/>
      <c r="I1500" s="645"/>
      <c r="J1500" s="645"/>
      <c r="K1500" s="645"/>
      <c r="L1500" s="645"/>
      <c r="M1500" s="645"/>
      <c r="N1500" s="645"/>
      <c r="O1500" s="645"/>
      <c r="P1500" s="645"/>
      <c r="Q1500" s="645"/>
      <c r="R1500" s="645"/>
      <c r="S1500" s="645"/>
      <c r="T1500" s="645"/>
      <c r="U1500" s="645"/>
      <c r="V1500" s="645"/>
      <c r="W1500" s="645"/>
      <c r="X1500" s="645"/>
      <c r="Y1500" s="645"/>
      <c r="Z1500" s="454" t="s">
        <v>639</v>
      </c>
      <c r="AA1500" s="454"/>
      <c r="AB1500" s="454"/>
      <c r="AC1500" s="454"/>
      <c r="AD1500" s="454"/>
      <c r="AE1500" s="635" t="s">
        <v>635</v>
      </c>
      <c r="AF1500" s="635"/>
      <c r="AG1500" s="635"/>
      <c r="AH1500" s="635"/>
      <c r="AI1500" s="635"/>
      <c r="AJ1500" s="635"/>
      <c r="AK1500" s="635"/>
      <c r="AL1500" s="635"/>
      <c r="AM1500" s="635"/>
      <c r="AN1500" s="352" t="s">
        <v>881</v>
      </c>
      <c r="AO1500" s="353"/>
      <c r="AP1500" s="353"/>
      <c r="AQ1500" s="353"/>
      <c r="AR1500" s="353"/>
      <c r="AS1500" s="354"/>
      <c r="AT1500" s="47"/>
      <c r="AU1500" s="47"/>
      <c r="AW1500" s="249"/>
      <c r="AX1500" s="35"/>
    </row>
    <row r="1501" spans="1:50" ht="13.5" customHeight="1" x14ac:dyDescent="0.25">
      <c r="C1501" s="645" t="s">
        <v>610</v>
      </c>
      <c r="D1501" s="645"/>
      <c r="E1501" s="645"/>
      <c r="F1501" s="645"/>
      <c r="G1501" s="645"/>
      <c r="H1501" s="645"/>
      <c r="I1501" s="645"/>
      <c r="J1501" s="645"/>
      <c r="K1501" s="645"/>
      <c r="L1501" s="645"/>
      <c r="M1501" s="645"/>
      <c r="N1501" s="645"/>
      <c r="O1501" s="645"/>
      <c r="P1501" s="645"/>
      <c r="Q1501" s="645"/>
      <c r="R1501" s="645"/>
      <c r="S1501" s="645"/>
      <c r="T1501" s="645"/>
      <c r="U1501" s="645"/>
      <c r="V1501" s="645"/>
      <c r="W1501" s="645"/>
      <c r="X1501" s="645"/>
      <c r="Y1501" s="645"/>
      <c r="Z1501" s="454" t="s">
        <v>639</v>
      </c>
      <c r="AA1501" s="454"/>
      <c r="AB1501" s="454"/>
      <c r="AC1501" s="454"/>
      <c r="AD1501" s="454"/>
      <c r="AE1501" s="635" t="s">
        <v>636</v>
      </c>
      <c r="AF1501" s="635"/>
      <c r="AG1501" s="635"/>
      <c r="AH1501" s="635"/>
      <c r="AI1501" s="635"/>
      <c r="AJ1501" s="635"/>
      <c r="AK1501" s="635"/>
      <c r="AL1501" s="635"/>
      <c r="AM1501" s="635"/>
      <c r="AN1501" s="352" t="s">
        <v>881</v>
      </c>
      <c r="AO1501" s="353"/>
      <c r="AP1501" s="353"/>
      <c r="AQ1501" s="353"/>
      <c r="AR1501" s="353"/>
      <c r="AS1501" s="354"/>
      <c r="AT1501" s="47"/>
      <c r="AU1501" s="47"/>
      <c r="AW1501" s="249"/>
      <c r="AX1501" s="35"/>
    </row>
    <row r="1502" spans="1:50" ht="13.5" customHeight="1" x14ac:dyDescent="0.25">
      <c r="C1502" s="645" t="s">
        <v>603</v>
      </c>
      <c r="D1502" s="645"/>
      <c r="E1502" s="645"/>
      <c r="F1502" s="645"/>
      <c r="G1502" s="645"/>
      <c r="H1502" s="645"/>
      <c r="I1502" s="645"/>
      <c r="J1502" s="645"/>
      <c r="K1502" s="645"/>
      <c r="L1502" s="645"/>
      <c r="M1502" s="645"/>
      <c r="N1502" s="645"/>
      <c r="O1502" s="645"/>
      <c r="P1502" s="645"/>
      <c r="Q1502" s="645"/>
      <c r="R1502" s="645"/>
      <c r="S1502" s="645"/>
      <c r="T1502" s="645"/>
      <c r="U1502" s="645"/>
      <c r="V1502" s="645"/>
      <c r="W1502" s="645"/>
      <c r="X1502" s="645"/>
      <c r="Y1502" s="645"/>
      <c r="Z1502" s="454" t="s">
        <v>640</v>
      </c>
      <c r="AA1502" s="454"/>
      <c r="AB1502" s="454"/>
      <c r="AC1502" s="454"/>
      <c r="AD1502" s="454"/>
      <c r="AE1502" s="635" t="s">
        <v>635</v>
      </c>
      <c r="AF1502" s="635"/>
      <c r="AG1502" s="635"/>
      <c r="AH1502" s="635"/>
      <c r="AI1502" s="635"/>
      <c r="AJ1502" s="635"/>
      <c r="AK1502" s="635"/>
      <c r="AL1502" s="635"/>
      <c r="AM1502" s="635"/>
      <c r="AN1502" s="352" t="s">
        <v>881</v>
      </c>
      <c r="AO1502" s="353"/>
      <c r="AP1502" s="353"/>
      <c r="AQ1502" s="353"/>
      <c r="AR1502" s="353"/>
      <c r="AS1502" s="354"/>
      <c r="AT1502" s="47"/>
      <c r="AU1502" s="47"/>
      <c r="AW1502" s="249"/>
      <c r="AX1502" s="35"/>
    </row>
    <row r="1503" spans="1:50" ht="13.5" customHeight="1" x14ac:dyDescent="0.2">
      <c r="A1503" s="30"/>
      <c r="B1503" s="30"/>
      <c r="C1503" s="645" t="s">
        <v>602</v>
      </c>
      <c r="D1503" s="645"/>
      <c r="E1503" s="645"/>
      <c r="F1503" s="645"/>
      <c r="G1503" s="645"/>
      <c r="H1503" s="645"/>
      <c r="I1503" s="645"/>
      <c r="J1503" s="645"/>
      <c r="K1503" s="645"/>
      <c r="L1503" s="645"/>
      <c r="M1503" s="645"/>
      <c r="N1503" s="645"/>
      <c r="O1503" s="645"/>
      <c r="P1503" s="645"/>
      <c r="Q1503" s="645"/>
      <c r="R1503" s="645"/>
      <c r="S1503" s="645"/>
      <c r="T1503" s="645"/>
      <c r="U1503" s="645"/>
      <c r="V1503" s="645"/>
      <c r="W1503" s="645"/>
      <c r="X1503" s="645"/>
      <c r="Y1503" s="645"/>
      <c r="Z1503" s="454" t="s">
        <v>424</v>
      </c>
      <c r="AA1503" s="454"/>
      <c r="AB1503" s="454"/>
      <c r="AC1503" s="454"/>
      <c r="AD1503" s="454"/>
      <c r="AE1503" s="635" t="s">
        <v>635</v>
      </c>
      <c r="AF1503" s="635"/>
      <c r="AG1503" s="635"/>
      <c r="AH1503" s="635"/>
      <c r="AI1503" s="635"/>
      <c r="AJ1503" s="635"/>
      <c r="AK1503" s="635"/>
      <c r="AL1503" s="635"/>
      <c r="AM1503" s="635"/>
      <c r="AN1503" s="352" t="s">
        <v>881</v>
      </c>
      <c r="AO1503" s="353"/>
      <c r="AP1503" s="353"/>
      <c r="AQ1503" s="353"/>
      <c r="AR1503" s="353"/>
      <c r="AS1503" s="354"/>
      <c r="AT1503" s="47"/>
      <c r="AU1503" s="47"/>
      <c r="AW1503" s="249"/>
      <c r="AX1503" s="35"/>
    </row>
    <row r="1504" spans="1:50" ht="13.5" customHeight="1" x14ac:dyDescent="0.2">
      <c r="A1504" s="30"/>
      <c r="B1504" s="30"/>
      <c r="C1504" s="645" t="s">
        <v>609</v>
      </c>
      <c r="D1504" s="645"/>
      <c r="E1504" s="645"/>
      <c r="F1504" s="645"/>
      <c r="G1504" s="645"/>
      <c r="H1504" s="645"/>
      <c r="I1504" s="645"/>
      <c r="J1504" s="645"/>
      <c r="K1504" s="645"/>
      <c r="L1504" s="645"/>
      <c r="M1504" s="645"/>
      <c r="N1504" s="645"/>
      <c r="O1504" s="645"/>
      <c r="P1504" s="645"/>
      <c r="Q1504" s="645"/>
      <c r="R1504" s="645"/>
      <c r="S1504" s="645"/>
      <c r="T1504" s="645"/>
      <c r="U1504" s="645"/>
      <c r="V1504" s="645"/>
      <c r="W1504" s="645"/>
      <c r="X1504" s="645"/>
      <c r="Y1504" s="645"/>
      <c r="Z1504" s="454" t="s">
        <v>424</v>
      </c>
      <c r="AA1504" s="454"/>
      <c r="AB1504" s="454"/>
      <c r="AC1504" s="454"/>
      <c r="AD1504" s="454"/>
      <c r="AE1504" s="635" t="s">
        <v>636</v>
      </c>
      <c r="AF1504" s="635"/>
      <c r="AG1504" s="635"/>
      <c r="AH1504" s="635"/>
      <c r="AI1504" s="635"/>
      <c r="AJ1504" s="635"/>
      <c r="AK1504" s="635"/>
      <c r="AL1504" s="635"/>
      <c r="AM1504" s="635"/>
      <c r="AN1504" s="352" t="s">
        <v>881</v>
      </c>
      <c r="AO1504" s="353"/>
      <c r="AP1504" s="353"/>
      <c r="AQ1504" s="353"/>
      <c r="AR1504" s="353"/>
      <c r="AS1504" s="354"/>
      <c r="AT1504" s="47"/>
      <c r="AU1504" s="47"/>
      <c r="AW1504" s="249"/>
      <c r="AX1504" s="35"/>
    </row>
    <row r="1505" spans="1:50" ht="13.5" customHeight="1" x14ac:dyDescent="0.2">
      <c r="A1505" s="30"/>
      <c r="B1505" s="30"/>
      <c r="C1505" s="645" t="s">
        <v>608</v>
      </c>
      <c r="D1505" s="645"/>
      <c r="E1505" s="645"/>
      <c r="F1505" s="645"/>
      <c r="G1505" s="645"/>
      <c r="H1505" s="645"/>
      <c r="I1505" s="645"/>
      <c r="J1505" s="645"/>
      <c r="K1505" s="645"/>
      <c r="L1505" s="645"/>
      <c r="M1505" s="645"/>
      <c r="N1505" s="645"/>
      <c r="O1505" s="645"/>
      <c r="P1505" s="645"/>
      <c r="Q1505" s="645"/>
      <c r="R1505" s="645"/>
      <c r="S1505" s="645"/>
      <c r="T1505" s="645"/>
      <c r="U1505" s="645"/>
      <c r="V1505" s="645"/>
      <c r="W1505" s="645"/>
      <c r="X1505" s="645"/>
      <c r="Y1505" s="645"/>
      <c r="Z1505" s="454" t="s">
        <v>641</v>
      </c>
      <c r="AA1505" s="454"/>
      <c r="AB1505" s="454"/>
      <c r="AC1505" s="454"/>
      <c r="AD1505" s="454"/>
      <c r="AE1505" s="635" t="s">
        <v>635</v>
      </c>
      <c r="AF1505" s="635"/>
      <c r="AG1505" s="635"/>
      <c r="AH1505" s="635"/>
      <c r="AI1505" s="635"/>
      <c r="AJ1505" s="635"/>
      <c r="AK1505" s="635"/>
      <c r="AL1505" s="635"/>
      <c r="AM1505" s="635"/>
      <c r="AN1505" s="352" t="s">
        <v>881</v>
      </c>
      <c r="AO1505" s="353"/>
      <c r="AP1505" s="353"/>
      <c r="AQ1505" s="353"/>
      <c r="AR1505" s="353"/>
      <c r="AS1505" s="354"/>
      <c r="AT1505" s="47"/>
      <c r="AU1505" s="47"/>
      <c r="AW1505" s="249"/>
      <c r="AX1505" s="35"/>
    </row>
    <row r="1506" spans="1:50" ht="13.5" customHeight="1" x14ac:dyDescent="0.2">
      <c r="A1506" s="30"/>
      <c r="B1506" s="30"/>
      <c r="C1506" s="645" t="s">
        <v>615</v>
      </c>
      <c r="D1506" s="645"/>
      <c r="E1506" s="645"/>
      <c r="F1506" s="645"/>
      <c r="G1506" s="645"/>
      <c r="H1506" s="645"/>
      <c r="I1506" s="645"/>
      <c r="J1506" s="645"/>
      <c r="K1506" s="645"/>
      <c r="L1506" s="645"/>
      <c r="M1506" s="645"/>
      <c r="N1506" s="645"/>
      <c r="O1506" s="645"/>
      <c r="P1506" s="645"/>
      <c r="Q1506" s="645"/>
      <c r="R1506" s="645"/>
      <c r="S1506" s="645"/>
      <c r="T1506" s="645"/>
      <c r="U1506" s="645"/>
      <c r="V1506" s="645"/>
      <c r="W1506" s="645"/>
      <c r="X1506" s="645"/>
      <c r="Y1506" s="645"/>
      <c r="Z1506" s="454" t="s">
        <v>641</v>
      </c>
      <c r="AA1506" s="454"/>
      <c r="AB1506" s="454"/>
      <c r="AC1506" s="454"/>
      <c r="AD1506" s="454"/>
      <c r="AE1506" s="635" t="s">
        <v>636</v>
      </c>
      <c r="AF1506" s="635"/>
      <c r="AG1506" s="635"/>
      <c r="AH1506" s="635"/>
      <c r="AI1506" s="635"/>
      <c r="AJ1506" s="635"/>
      <c r="AK1506" s="635"/>
      <c r="AL1506" s="635"/>
      <c r="AM1506" s="635"/>
      <c r="AN1506" s="352" t="s">
        <v>881</v>
      </c>
      <c r="AO1506" s="353"/>
      <c r="AP1506" s="353"/>
      <c r="AQ1506" s="353"/>
      <c r="AR1506" s="353"/>
      <c r="AS1506" s="354"/>
      <c r="AT1506" s="47"/>
      <c r="AU1506" s="47"/>
      <c r="AW1506" s="249"/>
      <c r="AX1506" s="35"/>
    </row>
    <row r="1507" spans="1:50" ht="13.5" customHeight="1" x14ac:dyDescent="0.2">
      <c r="A1507" s="30"/>
      <c r="B1507" s="30"/>
      <c r="C1507" s="645" t="s">
        <v>614</v>
      </c>
      <c r="D1507" s="645"/>
      <c r="E1507" s="645"/>
      <c r="F1507" s="645"/>
      <c r="G1507" s="645"/>
      <c r="H1507" s="645"/>
      <c r="I1507" s="645"/>
      <c r="J1507" s="645"/>
      <c r="K1507" s="645"/>
      <c r="L1507" s="645"/>
      <c r="M1507" s="645"/>
      <c r="N1507" s="645"/>
      <c r="O1507" s="645"/>
      <c r="P1507" s="645"/>
      <c r="Q1507" s="645"/>
      <c r="R1507" s="645"/>
      <c r="S1507" s="645"/>
      <c r="T1507" s="645"/>
      <c r="U1507" s="645"/>
      <c r="V1507" s="645"/>
      <c r="W1507" s="645"/>
      <c r="X1507" s="645"/>
      <c r="Y1507" s="645"/>
      <c r="Z1507" s="454" t="s">
        <v>642</v>
      </c>
      <c r="AA1507" s="454"/>
      <c r="AB1507" s="454"/>
      <c r="AC1507" s="454"/>
      <c r="AD1507" s="454"/>
      <c r="AE1507" s="635" t="s">
        <v>636</v>
      </c>
      <c r="AF1507" s="635"/>
      <c r="AG1507" s="635"/>
      <c r="AH1507" s="635"/>
      <c r="AI1507" s="635"/>
      <c r="AJ1507" s="635"/>
      <c r="AK1507" s="635"/>
      <c r="AL1507" s="635"/>
      <c r="AM1507" s="635"/>
      <c r="AN1507" s="352" t="s">
        <v>881</v>
      </c>
      <c r="AO1507" s="353"/>
      <c r="AP1507" s="353"/>
      <c r="AQ1507" s="353"/>
      <c r="AR1507" s="353"/>
      <c r="AS1507" s="354"/>
      <c r="AT1507" s="47"/>
      <c r="AU1507" s="47"/>
      <c r="AW1507" s="249"/>
      <c r="AX1507" s="35"/>
    </row>
    <row r="1508" spans="1:50" ht="13.5" customHeight="1" x14ac:dyDescent="0.2">
      <c r="A1508" s="30"/>
      <c r="B1508" s="30"/>
      <c r="C1508" s="645" t="s">
        <v>613</v>
      </c>
      <c r="D1508" s="645"/>
      <c r="E1508" s="645"/>
      <c r="F1508" s="645"/>
      <c r="G1508" s="645"/>
      <c r="H1508" s="645"/>
      <c r="I1508" s="645"/>
      <c r="J1508" s="645"/>
      <c r="K1508" s="645"/>
      <c r="L1508" s="645"/>
      <c r="M1508" s="645"/>
      <c r="N1508" s="645"/>
      <c r="O1508" s="645"/>
      <c r="P1508" s="645"/>
      <c r="Q1508" s="645"/>
      <c r="R1508" s="645"/>
      <c r="S1508" s="645"/>
      <c r="T1508" s="645"/>
      <c r="U1508" s="645"/>
      <c r="V1508" s="645"/>
      <c r="W1508" s="645"/>
      <c r="X1508" s="645"/>
      <c r="Y1508" s="645"/>
      <c r="Z1508" s="454" t="s">
        <v>643</v>
      </c>
      <c r="AA1508" s="454"/>
      <c r="AB1508" s="454"/>
      <c r="AC1508" s="454"/>
      <c r="AD1508" s="454"/>
      <c r="AE1508" s="635" t="s">
        <v>636</v>
      </c>
      <c r="AF1508" s="635"/>
      <c r="AG1508" s="635"/>
      <c r="AH1508" s="635"/>
      <c r="AI1508" s="635"/>
      <c r="AJ1508" s="635"/>
      <c r="AK1508" s="635"/>
      <c r="AL1508" s="635"/>
      <c r="AM1508" s="635"/>
      <c r="AN1508" s="352" t="s">
        <v>881</v>
      </c>
      <c r="AO1508" s="353"/>
      <c r="AP1508" s="353"/>
      <c r="AQ1508" s="353"/>
      <c r="AR1508" s="353"/>
      <c r="AS1508" s="354"/>
      <c r="AT1508" s="47"/>
      <c r="AU1508" s="47"/>
      <c r="AW1508" s="249"/>
      <c r="AX1508" s="35"/>
    </row>
    <row r="1509" spans="1:50" ht="13.5" customHeight="1" x14ac:dyDescent="0.2">
      <c r="A1509" s="30"/>
      <c r="B1509" s="30"/>
      <c r="C1509" s="645" t="s">
        <v>612</v>
      </c>
      <c r="D1509" s="645"/>
      <c r="E1509" s="645"/>
      <c r="F1509" s="645"/>
      <c r="G1509" s="645"/>
      <c r="H1509" s="645"/>
      <c r="I1509" s="645"/>
      <c r="J1509" s="645"/>
      <c r="K1509" s="645"/>
      <c r="L1509" s="645"/>
      <c r="M1509" s="645"/>
      <c r="N1509" s="645"/>
      <c r="O1509" s="645"/>
      <c r="P1509" s="645"/>
      <c r="Q1509" s="645"/>
      <c r="R1509" s="645"/>
      <c r="S1509" s="645"/>
      <c r="T1509" s="645"/>
      <c r="U1509" s="645"/>
      <c r="V1509" s="645"/>
      <c r="W1509" s="645"/>
      <c r="X1509" s="645"/>
      <c r="Y1509" s="645"/>
      <c r="Z1509" s="454" t="s">
        <v>430</v>
      </c>
      <c r="AA1509" s="454"/>
      <c r="AB1509" s="454"/>
      <c r="AC1509" s="454"/>
      <c r="AD1509" s="454"/>
      <c r="AE1509" s="635" t="s">
        <v>636</v>
      </c>
      <c r="AF1509" s="635"/>
      <c r="AG1509" s="635"/>
      <c r="AH1509" s="635"/>
      <c r="AI1509" s="635"/>
      <c r="AJ1509" s="635"/>
      <c r="AK1509" s="635"/>
      <c r="AL1509" s="635"/>
      <c r="AM1509" s="635"/>
      <c r="AN1509" s="352" t="s">
        <v>881</v>
      </c>
      <c r="AO1509" s="353"/>
      <c r="AP1509" s="353"/>
      <c r="AQ1509" s="353"/>
      <c r="AR1509" s="353"/>
      <c r="AS1509" s="354"/>
      <c r="AT1509" s="47"/>
      <c r="AU1509" s="47"/>
      <c r="AW1509" s="249"/>
      <c r="AX1509" s="35"/>
    </row>
    <row r="1510" spans="1:50" ht="13.5" customHeight="1" x14ac:dyDescent="0.2">
      <c r="A1510" s="30"/>
      <c r="B1510" s="30"/>
      <c r="C1510" s="645" t="s">
        <v>617</v>
      </c>
      <c r="D1510" s="645"/>
      <c r="E1510" s="645"/>
      <c r="F1510" s="645"/>
      <c r="G1510" s="645"/>
      <c r="H1510" s="645"/>
      <c r="I1510" s="645"/>
      <c r="J1510" s="645"/>
      <c r="K1510" s="645"/>
      <c r="L1510" s="645"/>
      <c r="M1510" s="645"/>
      <c r="N1510" s="645"/>
      <c r="O1510" s="645"/>
      <c r="P1510" s="645"/>
      <c r="Q1510" s="645"/>
      <c r="R1510" s="645"/>
      <c r="S1510" s="645"/>
      <c r="T1510" s="645"/>
      <c r="U1510" s="645"/>
      <c r="V1510" s="645"/>
      <c r="W1510" s="645"/>
      <c r="X1510" s="645"/>
      <c r="Y1510" s="645"/>
      <c r="Z1510" s="454" t="s">
        <v>639</v>
      </c>
      <c r="AA1510" s="454"/>
      <c r="AB1510" s="454"/>
      <c r="AC1510" s="454"/>
      <c r="AD1510" s="454"/>
      <c r="AE1510" s="635" t="s">
        <v>636</v>
      </c>
      <c r="AF1510" s="635"/>
      <c r="AG1510" s="635"/>
      <c r="AH1510" s="635"/>
      <c r="AI1510" s="635"/>
      <c r="AJ1510" s="635"/>
      <c r="AK1510" s="635"/>
      <c r="AL1510" s="635"/>
      <c r="AM1510" s="635"/>
      <c r="AN1510" s="352" t="s">
        <v>881</v>
      </c>
      <c r="AO1510" s="353"/>
      <c r="AP1510" s="353"/>
      <c r="AQ1510" s="353"/>
      <c r="AR1510" s="353"/>
      <c r="AS1510" s="354"/>
      <c r="AT1510" s="47"/>
      <c r="AU1510" s="47"/>
      <c r="AW1510" s="249"/>
      <c r="AX1510" s="35"/>
    </row>
    <row r="1511" spans="1:50" ht="13.5" customHeight="1" x14ac:dyDescent="0.2">
      <c r="A1511" s="30"/>
      <c r="B1511" s="30"/>
      <c r="C1511" s="645" t="s">
        <v>616</v>
      </c>
      <c r="D1511" s="645"/>
      <c r="E1511" s="645"/>
      <c r="F1511" s="645"/>
      <c r="G1511" s="645"/>
      <c r="H1511" s="645"/>
      <c r="I1511" s="645"/>
      <c r="J1511" s="645"/>
      <c r="K1511" s="645"/>
      <c r="L1511" s="645"/>
      <c r="M1511" s="645"/>
      <c r="N1511" s="645"/>
      <c r="O1511" s="645"/>
      <c r="P1511" s="645"/>
      <c r="Q1511" s="645"/>
      <c r="R1511" s="645"/>
      <c r="S1511" s="645"/>
      <c r="T1511" s="645"/>
      <c r="U1511" s="645"/>
      <c r="V1511" s="645"/>
      <c r="W1511" s="645"/>
      <c r="X1511" s="645"/>
      <c r="Y1511" s="645"/>
      <c r="Z1511" s="454" t="s">
        <v>424</v>
      </c>
      <c r="AA1511" s="454"/>
      <c r="AB1511" s="454"/>
      <c r="AC1511" s="454"/>
      <c r="AD1511" s="454"/>
      <c r="AE1511" s="635" t="s">
        <v>636</v>
      </c>
      <c r="AF1511" s="635"/>
      <c r="AG1511" s="635"/>
      <c r="AH1511" s="635"/>
      <c r="AI1511" s="635"/>
      <c r="AJ1511" s="635"/>
      <c r="AK1511" s="635"/>
      <c r="AL1511" s="635"/>
      <c r="AM1511" s="635"/>
      <c r="AN1511" s="352" t="s">
        <v>881</v>
      </c>
      <c r="AO1511" s="353"/>
      <c r="AP1511" s="353"/>
      <c r="AQ1511" s="353"/>
      <c r="AR1511" s="353"/>
      <c r="AS1511" s="354"/>
      <c r="AT1511" s="47"/>
      <c r="AU1511" s="47"/>
      <c r="AW1511" s="249"/>
      <c r="AX1511" s="35"/>
    </row>
    <row r="1512" spans="1:50" ht="13.5" customHeight="1" x14ac:dyDescent="0.2">
      <c r="A1512" s="30"/>
      <c r="B1512" s="30"/>
      <c r="C1512" s="645" t="s">
        <v>620</v>
      </c>
      <c r="D1512" s="645"/>
      <c r="E1512" s="645"/>
      <c r="F1512" s="645"/>
      <c r="G1512" s="645"/>
      <c r="H1512" s="645"/>
      <c r="I1512" s="645"/>
      <c r="J1512" s="645"/>
      <c r="K1512" s="645"/>
      <c r="L1512" s="645"/>
      <c r="M1512" s="645"/>
      <c r="N1512" s="645"/>
      <c r="O1512" s="645"/>
      <c r="P1512" s="645"/>
      <c r="Q1512" s="645"/>
      <c r="R1512" s="645"/>
      <c r="S1512" s="645"/>
      <c r="T1512" s="645"/>
      <c r="U1512" s="645"/>
      <c r="V1512" s="645"/>
      <c r="W1512" s="645"/>
      <c r="X1512" s="645"/>
      <c r="Y1512" s="645"/>
      <c r="Z1512" s="454" t="s">
        <v>641</v>
      </c>
      <c r="AA1512" s="454"/>
      <c r="AB1512" s="454"/>
      <c r="AC1512" s="454"/>
      <c r="AD1512" s="454"/>
      <c r="AE1512" s="635" t="s">
        <v>636</v>
      </c>
      <c r="AF1512" s="635"/>
      <c r="AG1512" s="635"/>
      <c r="AH1512" s="635"/>
      <c r="AI1512" s="635"/>
      <c r="AJ1512" s="635"/>
      <c r="AK1512" s="635"/>
      <c r="AL1512" s="635"/>
      <c r="AM1512" s="635"/>
      <c r="AN1512" s="352" t="s">
        <v>881</v>
      </c>
      <c r="AO1512" s="353"/>
      <c r="AP1512" s="353"/>
      <c r="AQ1512" s="353"/>
      <c r="AR1512" s="353"/>
      <c r="AS1512" s="354"/>
      <c r="AT1512" s="47"/>
      <c r="AU1512" s="47"/>
      <c r="AW1512" s="249"/>
      <c r="AX1512" s="35"/>
    </row>
    <row r="1513" spans="1:50" ht="13.5" customHeight="1" x14ac:dyDescent="0.2">
      <c r="A1513" s="30"/>
      <c r="B1513" s="30"/>
      <c r="C1513" s="645" t="s">
        <v>619</v>
      </c>
      <c r="D1513" s="645"/>
      <c r="E1513" s="645"/>
      <c r="F1513" s="645"/>
      <c r="G1513" s="645"/>
      <c r="H1513" s="645"/>
      <c r="I1513" s="645"/>
      <c r="J1513" s="645"/>
      <c r="K1513" s="645"/>
      <c r="L1513" s="645"/>
      <c r="M1513" s="645"/>
      <c r="N1513" s="645"/>
      <c r="O1513" s="645"/>
      <c r="P1513" s="645"/>
      <c r="Q1513" s="645"/>
      <c r="R1513" s="645"/>
      <c r="S1513" s="645"/>
      <c r="T1513" s="645"/>
      <c r="U1513" s="645"/>
      <c r="V1513" s="645"/>
      <c r="W1513" s="645"/>
      <c r="X1513" s="645"/>
      <c r="Y1513" s="645"/>
      <c r="Z1513" s="454" t="s">
        <v>642</v>
      </c>
      <c r="AA1513" s="454"/>
      <c r="AB1513" s="454"/>
      <c r="AC1513" s="454"/>
      <c r="AD1513" s="454"/>
      <c r="AE1513" s="635" t="s">
        <v>636</v>
      </c>
      <c r="AF1513" s="635"/>
      <c r="AG1513" s="635"/>
      <c r="AH1513" s="635"/>
      <c r="AI1513" s="635"/>
      <c r="AJ1513" s="635"/>
      <c r="AK1513" s="635"/>
      <c r="AL1513" s="635"/>
      <c r="AM1513" s="635"/>
      <c r="AN1513" s="352" t="s">
        <v>881</v>
      </c>
      <c r="AO1513" s="353"/>
      <c r="AP1513" s="353"/>
      <c r="AQ1513" s="353"/>
      <c r="AR1513" s="353"/>
      <c r="AS1513" s="354"/>
      <c r="AT1513" s="47"/>
      <c r="AU1513" s="47"/>
      <c r="AW1513" s="249"/>
      <c r="AX1513" s="35"/>
    </row>
    <row r="1514" spans="1:50" ht="13.5" customHeight="1" x14ac:dyDescent="0.2">
      <c r="A1514" s="30"/>
      <c r="B1514" s="30"/>
      <c r="C1514" s="645" t="s">
        <v>618</v>
      </c>
      <c r="D1514" s="645"/>
      <c r="E1514" s="645"/>
      <c r="F1514" s="645"/>
      <c r="G1514" s="645"/>
      <c r="H1514" s="645"/>
      <c r="I1514" s="645"/>
      <c r="J1514" s="645"/>
      <c r="K1514" s="645"/>
      <c r="L1514" s="645"/>
      <c r="M1514" s="645"/>
      <c r="N1514" s="645"/>
      <c r="O1514" s="645"/>
      <c r="P1514" s="645"/>
      <c r="Q1514" s="645"/>
      <c r="R1514" s="645"/>
      <c r="S1514" s="645"/>
      <c r="T1514" s="645"/>
      <c r="U1514" s="645"/>
      <c r="V1514" s="645"/>
      <c r="W1514" s="645"/>
      <c r="X1514" s="645"/>
      <c r="Y1514" s="645"/>
      <c r="Z1514" s="454" t="s">
        <v>643</v>
      </c>
      <c r="AA1514" s="454"/>
      <c r="AB1514" s="454"/>
      <c r="AC1514" s="454"/>
      <c r="AD1514" s="454"/>
      <c r="AE1514" s="635" t="s">
        <v>636</v>
      </c>
      <c r="AF1514" s="635"/>
      <c r="AG1514" s="635"/>
      <c r="AH1514" s="635"/>
      <c r="AI1514" s="635"/>
      <c r="AJ1514" s="635"/>
      <c r="AK1514" s="635"/>
      <c r="AL1514" s="635"/>
      <c r="AM1514" s="635"/>
      <c r="AN1514" s="352" t="s">
        <v>881</v>
      </c>
      <c r="AO1514" s="353"/>
      <c r="AP1514" s="353"/>
      <c r="AQ1514" s="353"/>
      <c r="AR1514" s="353"/>
      <c r="AS1514" s="354"/>
      <c r="AT1514" s="47"/>
      <c r="AU1514" s="47"/>
      <c r="AW1514" s="249"/>
      <c r="AX1514" s="35"/>
    </row>
    <row r="1515" spans="1:50" ht="13.5" customHeight="1" x14ac:dyDescent="0.2">
      <c r="A1515" s="30"/>
      <c r="B1515" s="30"/>
      <c r="C1515" s="645" t="s">
        <v>634</v>
      </c>
      <c r="D1515" s="645"/>
      <c r="E1515" s="645"/>
      <c r="F1515" s="645"/>
      <c r="G1515" s="645"/>
      <c r="H1515" s="645"/>
      <c r="I1515" s="645"/>
      <c r="J1515" s="645"/>
      <c r="K1515" s="645"/>
      <c r="L1515" s="645"/>
      <c r="M1515" s="645"/>
      <c r="N1515" s="645"/>
      <c r="O1515" s="645"/>
      <c r="P1515" s="645"/>
      <c r="Q1515" s="645"/>
      <c r="R1515" s="645"/>
      <c r="S1515" s="645"/>
      <c r="T1515" s="645"/>
      <c r="U1515" s="645"/>
      <c r="V1515" s="645"/>
      <c r="W1515" s="645"/>
      <c r="X1515" s="645"/>
      <c r="Y1515" s="645"/>
      <c r="Z1515" s="454" t="s">
        <v>430</v>
      </c>
      <c r="AA1515" s="454"/>
      <c r="AB1515" s="454"/>
      <c r="AC1515" s="454"/>
      <c r="AD1515" s="454"/>
      <c r="AE1515" s="635" t="s">
        <v>636</v>
      </c>
      <c r="AF1515" s="635"/>
      <c r="AG1515" s="635"/>
      <c r="AH1515" s="635"/>
      <c r="AI1515" s="635"/>
      <c r="AJ1515" s="635"/>
      <c r="AK1515" s="635"/>
      <c r="AL1515" s="635"/>
      <c r="AM1515" s="635"/>
      <c r="AN1515" s="352" t="s">
        <v>881</v>
      </c>
      <c r="AO1515" s="353"/>
      <c r="AP1515" s="353"/>
      <c r="AQ1515" s="353"/>
      <c r="AR1515" s="353"/>
      <c r="AS1515" s="354"/>
      <c r="AT1515" s="47"/>
      <c r="AU1515" s="47"/>
      <c r="AW1515" s="249"/>
      <c r="AX1515" s="35"/>
    </row>
    <row r="1516" spans="1:50" ht="13.5" customHeight="1" x14ac:dyDescent="0.2">
      <c r="A1516" s="30"/>
      <c r="B1516" s="30"/>
      <c r="C1516" s="645" t="s">
        <v>633</v>
      </c>
      <c r="D1516" s="645"/>
      <c r="E1516" s="645"/>
      <c r="F1516" s="645"/>
      <c r="G1516" s="645"/>
      <c r="H1516" s="645"/>
      <c r="I1516" s="645"/>
      <c r="J1516" s="645"/>
      <c r="K1516" s="645"/>
      <c r="L1516" s="645"/>
      <c r="M1516" s="645"/>
      <c r="N1516" s="645"/>
      <c r="O1516" s="645"/>
      <c r="P1516" s="645"/>
      <c r="Q1516" s="645"/>
      <c r="R1516" s="645"/>
      <c r="S1516" s="645"/>
      <c r="T1516" s="645"/>
      <c r="U1516" s="645"/>
      <c r="V1516" s="645"/>
      <c r="W1516" s="645"/>
      <c r="X1516" s="645"/>
      <c r="Y1516" s="645"/>
      <c r="Z1516" s="454" t="s">
        <v>432</v>
      </c>
      <c r="AA1516" s="454"/>
      <c r="AB1516" s="454"/>
      <c r="AC1516" s="454"/>
      <c r="AD1516" s="454"/>
      <c r="AE1516" s="635" t="s">
        <v>636</v>
      </c>
      <c r="AF1516" s="635"/>
      <c r="AG1516" s="635"/>
      <c r="AH1516" s="635"/>
      <c r="AI1516" s="635"/>
      <c r="AJ1516" s="635"/>
      <c r="AK1516" s="635"/>
      <c r="AL1516" s="635"/>
      <c r="AM1516" s="635"/>
      <c r="AN1516" s="352" t="s">
        <v>881</v>
      </c>
      <c r="AO1516" s="353"/>
      <c r="AP1516" s="353"/>
      <c r="AQ1516" s="353"/>
      <c r="AR1516" s="353"/>
      <c r="AS1516" s="354"/>
      <c r="AT1516" s="47"/>
      <c r="AU1516" s="47"/>
      <c r="AW1516" s="249"/>
      <c r="AX1516" s="35"/>
    </row>
    <row r="1517" spans="1:50" ht="13.5" customHeight="1" x14ac:dyDescent="0.2">
      <c r="A1517" s="30"/>
      <c r="B1517" s="30"/>
      <c r="C1517" s="645" t="s">
        <v>632</v>
      </c>
      <c r="D1517" s="645"/>
      <c r="E1517" s="645"/>
      <c r="F1517" s="645"/>
      <c r="G1517" s="645"/>
      <c r="H1517" s="645"/>
      <c r="I1517" s="645"/>
      <c r="J1517" s="645"/>
      <c r="K1517" s="645"/>
      <c r="L1517" s="645"/>
      <c r="M1517" s="645"/>
      <c r="N1517" s="645"/>
      <c r="O1517" s="645"/>
      <c r="P1517" s="645"/>
      <c r="Q1517" s="645"/>
      <c r="R1517" s="645"/>
      <c r="S1517" s="645"/>
      <c r="T1517" s="645"/>
      <c r="U1517" s="645"/>
      <c r="V1517" s="645"/>
      <c r="W1517" s="645"/>
      <c r="X1517" s="645"/>
      <c r="Y1517" s="645"/>
      <c r="Z1517" s="454" t="s">
        <v>644</v>
      </c>
      <c r="AA1517" s="454"/>
      <c r="AB1517" s="454"/>
      <c r="AC1517" s="454"/>
      <c r="AD1517" s="454"/>
      <c r="AE1517" s="635" t="s">
        <v>636</v>
      </c>
      <c r="AF1517" s="635"/>
      <c r="AG1517" s="635"/>
      <c r="AH1517" s="635"/>
      <c r="AI1517" s="635"/>
      <c r="AJ1517" s="635"/>
      <c r="AK1517" s="635"/>
      <c r="AL1517" s="635"/>
      <c r="AM1517" s="635"/>
      <c r="AN1517" s="352" t="s">
        <v>881</v>
      </c>
      <c r="AO1517" s="353"/>
      <c r="AP1517" s="353"/>
      <c r="AQ1517" s="353"/>
      <c r="AR1517" s="353"/>
      <c r="AS1517" s="354"/>
      <c r="AT1517" s="47"/>
      <c r="AU1517" s="47"/>
      <c r="AW1517" s="249"/>
      <c r="AX1517" s="35"/>
    </row>
    <row r="1518" spans="1:50" ht="13.5" customHeight="1" x14ac:dyDescent="0.2">
      <c r="A1518" s="30"/>
      <c r="B1518" s="30"/>
      <c r="C1518" s="645" t="s">
        <v>631</v>
      </c>
      <c r="D1518" s="645"/>
      <c r="E1518" s="645"/>
      <c r="F1518" s="645"/>
      <c r="G1518" s="645"/>
      <c r="H1518" s="645"/>
      <c r="I1518" s="645"/>
      <c r="J1518" s="645"/>
      <c r="K1518" s="645"/>
      <c r="L1518" s="645"/>
      <c r="M1518" s="645"/>
      <c r="N1518" s="645"/>
      <c r="O1518" s="645"/>
      <c r="P1518" s="645"/>
      <c r="Q1518" s="645"/>
      <c r="R1518" s="645"/>
      <c r="S1518" s="645"/>
      <c r="T1518" s="645"/>
      <c r="U1518" s="645"/>
      <c r="V1518" s="645"/>
      <c r="W1518" s="645"/>
      <c r="X1518" s="645"/>
      <c r="Y1518" s="645"/>
      <c r="Z1518" s="454" t="s">
        <v>645</v>
      </c>
      <c r="AA1518" s="454"/>
      <c r="AB1518" s="454"/>
      <c r="AC1518" s="454"/>
      <c r="AD1518" s="454"/>
      <c r="AE1518" s="635" t="s">
        <v>636</v>
      </c>
      <c r="AF1518" s="635"/>
      <c r="AG1518" s="635"/>
      <c r="AH1518" s="635"/>
      <c r="AI1518" s="635"/>
      <c r="AJ1518" s="635"/>
      <c r="AK1518" s="635"/>
      <c r="AL1518" s="635"/>
      <c r="AM1518" s="635"/>
      <c r="AN1518" s="352" t="s">
        <v>881</v>
      </c>
      <c r="AO1518" s="353"/>
      <c r="AP1518" s="353"/>
      <c r="AQ1518" s="353"/>
      <c r="AR1518" s="353"/>
      <c r="AS1518" s="354"/>
      <c r="AT1518" s="47"/>
      <c r="AU1518" s="47"/>
      <c r="AW1518" s="249"/>
      <c r="AX1518" s="35"/>
    </row>
    <row r="1519" spans="1:50" ht="13.5" customHeight="1" x14ac:dyDescent="0.25">
      <c r="C1519" s="645" t="s">
        <v>630</v>
      </c>
      <c r="D1519" s="645"/>
      <c r="E1519" s="645"/>
      <c r="F1519" s="645"/>
      <c r="G1519" s="645"/>
      <c r="H1519" s="645"/>
      <c r="I1519" s="645"/>
      <c r="J1519" s="645"/>
      <c r="K1519" s="645"/>
      <c r="L1519" s="645"/>
      <c r="M1519" s="645"/>
      <c r="N1519" s="645"/>
      <c r="O1519" s="645"/>
      <c r="P1519" s="645"/>
      <c r="Q1519" s="645"/>
      <c r="R1519" s="645"/>
      <c r="S1519" s="645"/>
      <c r="T1519" s="645"/>
      <c r="U1519" s="645"/>
      <c r="V1519" s="645"/>
      <c r="W1519" s="645"/>
      <c r="X1519" s="645"/>
      <c r="Y1519" s="645"/>
      <c r="Z1519" s="454" t="s">
        <v>436</v>
      </c>
      <c r="AA1519" s="454"/>
      <c r="AB1519" s="454"/>
      <c r="AC1519" s="454"/>
      <c r="AD1519" s="454"/>
      <c r="AE1519" s="635" t="s">
        <v>636</v>
      </c>
      <c r="AF1519" s="635"/>
      <c r="AG1519" s="635"/>
      <c r="AH1519" s="635"/>
      <c r="AI1519" s="635"/>
      <c r="AJ1519" s="635"/>
      <c r="AK1519" s="635"/>
      <c r="AL1519" s="635"/>
      <c r="AM1519" s="635"/>
      <c r="AN1519" s="352" t="s">
        <v>881</v>
      </c>
      <c r="AO1519" s="353"/>
      <c r="AP1519" s="353"/>
      <c r="AQ1519" s="353"/>
      <c r="AR1519" s="353"/>
      <c r="AS1519" s="354"/>
      <c r="AT1519" s="47"/>
      <c r="AU1519" s="47"/>
      <c r="AW1519" s="249"/>
      <c r="AX1519" s="35"/>
    </row>
    <row r="1520" spans="1:50" ht="13.5" customHeight="1" x14ac:dyDescent="0.25">
      <c r="C1520" s="645" t="s">
        <v>629</v>
      </c>
      <c r="D1520" s="645"/>
      <c r="E1520" s="645"/>
      <c r="F1520" s="645"/>
      <c r="G1520" s="645"/>
      <c r="H1520" s="645"/>
      <c r="I1520" s="645"/>
      <c r="J1520" s="645"/>
      <c r="K1520" s="645"/>
      <c r="L1520" s="645"/>
      <c r="M1520" s="645"/>
      <c r="N1520" s="645"/>
      <c r="O1520" s="645"/>
      <c r="P1520" s="645"/>
      <c r="Q1520" s="645"/>
      <c r="R1520" s="645"/>
      <c r="S1520" s="645"/>
      <c r="T1520" s="645"/>
      <c r="U1520" s="645"/>
      <c r="V1520" s="645"/>
      <c r="W1520" s="645"/>
      <c r="X1520" s="645"/>
      <c r="Y1520" s="645"/>
      <c r="Z1520" s="454" t="s">
        <v>646</v>
      </c>
      <c r="AA1520" s="454"/>
      <c r="AB1520" s="454"/>
      <c r="AC1520" s="454"/>
      <c r="AD1520" s="454"/>
      <c r="AE1520" s="635" t="s">
        <v>636</v>
      </c>
      <c r="AF1520" s="635"/>
      <c r="AG1520" s="635"/>
      <c r="AH1520" s="635"/>
      <c r="AI1520" s="635"/>
      <c r="AJ1520" s="635"/>
      <c r="AK1520" s="635"/>
      <c r="AL1520" s="635"/>
      <c r="AM1520" s="635"/>
      <c r="AN1520" s="352" t="s">
        <v>881</v>
      </c>
      <c r="AO1520" s="353"/>
      <c r="AP1520" s="353"/>
      <c r="AQ1520" s="353"/>
      <c r="AR1520" s="353"/>
      <c r="AS1520" s="354"/>
      <c r="AT1520" s="47"/>
      <c r="AU1520" s="47"/>
      <c r="AW1520" s="249"/>
      <c r="AX1520" s="35"/>
    </row>
    <row r="1521" spans="1:50" ht="13.5" customHeight="1" x14ac:dyDescent="0.25">
      <c r="C1521" s="674" t="s">
        <v>726</v>
      </c>
      <c r="D1521" s="674"/>
      <c r="E1521" s="674"/>
      <c r="F1521" s="674"/>
      <c r="G1521" s="674"/>
      <c r="H1521" s="674"/>
      <c r="I1521" s="674"/>
      <c r="J1521" s="674"/>
      <c r="K1521" s="674"/>
      <c r="L1521" s="674"/>
      <c r="M1521" s="674"/>
      <c r="N1521" s="674"/>
      <c r="O1521" s="674"/>
      <c r="P1521" s="674"/>
      <c r="Q1521" s="674"/>
      <c r="R1521" s="674"/>
      <c r="S1521" s="674"/>
      <c r="T1521" s="674"/>
      <c r="U1521" s="674"/>
      <c r="V1521" s="674"/>
      <c r="W1521" s="674"/>
      <c r="X1521" s="674"/>
      <c r="Y1521" s="674"/>
      <c r="Z1521" s="671" t="s">
        <v>549</v>
      </c>
      <c r="AA1521" s="671"/>
      <c r="AB1521" s="671"/>
      <c r="AC1521" s="671"/>
      <c r="AD1521" s="671"/>
      <c r="AE1521" s="671" t="s">
        <v>724</v>
      </c>
      <c r="AF1521" s="671"/>
      <c r="AG1521" s="671"/>
      <c r="AH1521" s="671"/>
      <c r="AI1521" s="671"/>
      <c r="AJ1521" s="671"/>
      <c r="AK1521" s="671"/>
      <c r="AL1521" s="671"/>
      <c r="AM1521" s="671"/>
      <c r="AN1521" s="638" t="s">
        <v>907</v>
      </c>
      <c r="AO1521" s="638"/>
      <c r="AP1521" s="638"/>
      <c r="AQ1521" s="638"/>
      <c r="AR1521" s="638"/>
      <c r="AS1521" s="638"/>
      <c r="AT1521" s="47"/>
      <c r="AU1521" s="47"/>
      <c r="AW1521" s="249"/>
      <c r="AX1521" s="35"/>
    </row>
    <row r="1522" spans="1:50" ht="13.5" customHeight="1" x14ac:dyDescent="0.25">
      <c r="C1522" s="645" t="s">
        <v>623</v>
      </c>
      <c r="D1522" s="645"/>
      <c r="E1522" s="645"/>
      <c r="F1522" s="645"/>
      <c r="G1522" s="645"/>
      <c r="H1522" s="645"/>
      <c r="I1522" s="645"/>
      <c r="J1522" s="645"/>
      <c r="K1522" s="645"/>
      <c r="L1522" s="645"/>
      <c r="M1522" s="645"/>
      <c r="N1522" s="645"/>
      <c r="O1522" s="645"/>
      <c r="P1522" s="645"/>
      <c r="Q1522" s="645"/>
      <c r="R1522" s="645"/>
      <c r="S1522" s="645"/>
      <c r="T1522" s="645"/>
      <c r="U1522" s="645"/>
      <c r="V1522" s="645"/>
      <c r="W1522" s="645"/>
      <c r="X1522" s="645"/>
      <c r="Y1522" s="645"/>
      <c r="Z1522" s="454" t="s">
        <v>640</v>
      </c>
      <c r="AA1522" s="454"/>
      <c r="AB1522" s="454"/>
      <c r="AC1522" s="454"/>
      <c r="AD1522" s="454"/>
      <c r="AE1522" s="635" t="s">
        <v>636</v>
      </c>
      <c r="AF1522" s="635"/>
      <c r="AG1522" s="635"/>
      <c r="AH1522" s="635"/>
      <c r="AI1522" s="635"/>
      <c r="AJ1522" s="635"/>
      <c r="AK1522" s="635"/>
      <c r="AL1522" s="635"/>
      <c r="AM1522" s="635"/>
      <c r="AN1522" s="352" t="s">
        <v>881</v>
      </c>
      <c r="AO1522" s="353"/>
      <c r="AP1522" s="353"/>
      <c r="AQ1522" s="353"/>
      <c r="AR1522" s="353"/>
      <c r="AS1522" s="354"/>
      <c r="AT1522" s="47"/>
      <c r="AU1522" s="47"/>
      <c r="AW1522" s="249"/>
      <c r="AX1522" s="35"/>
    </row>
    <row r="1523" spans="1:50" ht="13.5" customHeight="1" x14ac:dyDescent="0.25">
      <c r="C1523" s="645" t="s">
        <v>622</v>
      </c>
      <c r="D1523" s="645"/>
      <c r="E1523" s="645"/>
      <c r="F1523" s="645"/>
      <c r="G1523" s="645"/>
      <c r="H1523" s="645"/>
      <c r="I1523" s="645"/>
      <c r="J1523" s="645"/>
      <c r="K1523" s="645"/>
      <c r="L1523" s="645"/>
      <c r="M1523" s="645"/>
      <c r="N1523" s="645"/>
      <c r="O1523" s="645"/>
      <c r="P1523" s="645"/>
      <c r="Q1523" s="645"/>
      <c r="R1523" s="645"/>
      <c r="S1523" s="645"/>
      <c r="T1523" s="645"/>
      <c r="U1523" s="645"/>
      <c r="V1523" s="645"/>
      <c r="W1523" s="645"/>
      <c r="X1523" s="645"/>
      <c r="Y1523" s="645"/>
      <c r="Z1523" s="454" t="s">
        <v>648</v>
      </c>
      <c r="AA1523" s="454"/>
      <c r="AB1523" s="454"/>
      <c r="AC1523" s="454"/>
      <c r="AD1523" s="454"/>
      <c r="AE1523" s="635" t="s">
        <v>636</v>
      </c>
      <c r="AF1523" s="635"/>
      <c r="AG1523" s="635"/>
      <c r="AH1523" s="635"/>
      <c r="AI1523" s="635"/>
      <c r="AJ1523" s="635"/>
      <c r="AK1523" s="635"/>
      <c r="AL1523" s="635"/>
      <c r="AM1523" s="635"/>
      <c r="AN1523" s="352" t="s">
        <v>881</v>
      </c>
      <c r="AO1523" s="353"/>
      <c r="AP1523" s="353"/>
      <c r="AQ1523" s="353"/>
      <c r="AR1523" s="353"/>
      <c r="AS1523" s="354"/>
      <c r="AT1523" s="47"/>
      <c r="AU1523" s="47"/>
      <c r="AW1523" s="249"/>
      <c r="AX1523" s="35"/>
    </row>
    <row r="1524" spans="1:50" ht="13.5" customHeight="1" x14ac:dyDescent="0.25">
      <c r="C1524" s="645" t="s">
        <v>621</v>
      </c>
      <c r="D1524" s="645"/>
      <c r="E1524" s="645"/>
      <c r="F1524" s="645"/>
      <c r="G1524" s="645"/>
      <c r="H1524" s="645"/>
      <c r="I1524" s="645"/>
      <c r="J1524" s="645"/>
      <c r="K1524" s="645"/>
      <c r="L1524" s="645"/>
      <c r="M1524" s="645"/>
      <c r="N1524" s="645"/>
      <c r="O1524" s="645"/>
      <c r="P1524" s="645"/>
      <c r="Q1524" s="645"/>
      <c r="R1524" s="645"/>
      <c r="S1524" s="645"/>
      <c r="T1524" s="645"/>
      <c r="U1524" s="645"/>
      <c r="V1524" s="645"/>
      <c r="W1524" s="645"/>
      <c r="X1524" s="645"/>
      <c r="Y1524" s="645"/>
      <c r="Z1524" s="454" t="s">
        <v>649</v>
      </c>
      <c r="AA1524" s="454"/>
      <c r="AB1524" s="454"/>
      <c r="AC1524" s="454"/>
      <c r="AD1524" s="454"/>
      <c r="AE1524" s="635" t="s">
        <v>636</v>
      </c>
      <c r="AF1524" s="635"/>
      <c r="AG1524" s="635"/>
      <c r="AH1524" s="635"/>
      <c r="AI1524" s="635"/>
      <c r="AJ1524" s="635"/>
      <c r="AK1524" s="635"/>
      <c r="AL1524" s="635"/>
      <c r="AM1524" s="635"/>
      <c r="AN1524" s="352" t="s">
        <v>881</v>
      </c>
      <c r="AO1524" s="353"/>
      <c r="AP1524" s="353"/>
      <c r="AQ1524" s="353"/>
      <c r="AR1524" s="353"/>
      <c r="AS1524" s="354"/>
      <c r="AT1524" s="47"/>
      <c r="AU1524" s="47"/>
      <c r="AW1524" s="249"/>
      <c r="AX1524" s="35"/>
    </row>
    <row r="1525" spans="1:50" ht="13.5" customHeight="1" x14ac:dyDescent="0.25">
      <c r="C1525" s="674" t="s">
        <v>877</v>
      </c>
      <c r="D1525" s="674"/>
      <c r="E1525" s="674"/>
      <c r="F1525" s="674"/>
      <c r="G1525" s="674"/>
      <c r="H1525" s="674"/>
      <c r="I1525" s="674"/>
      <c r="J1525" s="674"/>
      <c r="K1525" s="674"/>
      <c r="L1525" s="674"/>
      <c r="M1525" s="674"/>
      <c r="N1525" s="674"/>
      <c r="O1525" s="674"/>
      <c r="P1525" s="674"/>
      <c r="Q1525" s="674"/>
      <c r="R1525" s="674"/>
      <c r="S1525" s="674"/>
      <c r="T1525" s="674"/>
      <c r="U1525" s="674"/>
      <c r="V1525" s="674"/>
      <c r="W1525" s="674"/>
      <c r="X1525" s="674"/>
      <c r="Y1525" s="674"/>
      <c r="Z1525" s="671" t="s">
        <v>549</v>
      </c>
      <c r="AA1525" s="671"/>
      <c r="AB1525" s="671"/>
      <c r="AC1525" s="671"/>
      <c r="AD1525" s="671"/>
      <c r="AE1525" s="671" t="s">
        <v>724</v>
      </c>
      <c r="AF1525" s="671"/>
      <c r="AG1525" s="671"/>
      <c r="AH1525" s="671"/>
      <c r="AI1525" s="671"/>
      <c r="AJ1525" s="671"/>
      <c r="AK1525" s="671"/>
      <c r="AL1525" s="671"/>
      <c r="AM1525" s="671"/>
      <c r="AN1525" s="638" t="s">
        <v>907</v>
      </c>
      <c r="AO1525" s="638"/>
      <c r="AP1525" s="638"/>
      <c r="AQ1525" s="638"/>
      <c r="AR1525" s="638"/>
      <c r="AS1525" s="638"/>
      <c r="AT1525" s="47"/>
      <c r="AU1525" s="47"/>
      <c r="AW1525" s="249"/>
      <c r="AX1525" s="35"/>
    </row>
    <row r="1526" spans="1:50" ht="13.5" customHeight="1" x14ac:dyDescent="0.25">
      <c r="C1526" s="645" t="s">
        <v>628</v>
      </c>
      <c r="D1526" s="645"/>
      <c r="E1526" s="645"/>
      <c r="F1526" s="645"/>
      <c r="G1526" s="645"/>
      <c r="H1526" s="645"/>
      <c r="I1526" s="645"/>
      <c r="J1526" s="645"/>
      <c r="K1526" s="645"/>
      <c r="L1526" s="645"/>
      <c r="M1526" s="645"/>
      <c r="N1526" s="645"/>
      <c r="O1526" s="645"/>
      <c r="P1526" s="645"/>
      <c r="Q1526" s="645"/>
      <c r="R1526" s="645"/>
      <c r="S1526" s="645"/>
      <c r="T1526" s="645"/>
      <c r="U1526" s="645"/>
      <c r="V1526" s="645"/>
      <c r="W1526" s="645"/>
      <c r="X1526" s="645"/>
      <c r="Y1526" s="645"/>
      <c r="Z1526" s="454" t="s">
        <v>637</v>
      </c>
      <c r="AA1526" s="454"/>
      <c r="AB1526" s="454"/>
      <c r="AC1526" s="454"/>
      <c r="AD1526" s="454"/>
      <c r="AE1526" s="635" t="s">
        <v>636</v>
      </c>
      <c r="AF1526" s="635"/>
      <c r="AG1526" s="635"/>
      <c r="AH1526" s="635"/>
      <c r="AI1526" s="635"/>
      <c r="AJ1526" s="635"/>
      <c r="AK1526" s="635"/>
      <c r="AL1526" s="635"/>
      <c r="AM1526" s="635"/>
      <c r="AN1526" s="352" t="s">
        <v>881</v>
      </c>
      <c r="AO1526" s="353"/>
      <c r="AP1526" s="353"/>
      <c r="AQ1526" s="353"/>
      <c r="AR1526" s="353"/>
      <c r="AS1526" s="354"/>
      <c r="AT1526" s="47"/>
      <c r="AU1526" s="47"/>
      <c r="AW1526" s="249"/>
      <c r="AX1526" s="35"/>
    </row>
    <row r="1527" spans="1:50" ht="13.5" customHeight="1" x14ac:dyDescent="0.25">
      <c r="C1527" s="645" t="s">
        <v>627</v>
      </c>
      <c r="D1527" s="645"/>
      <c r="E1527" s="645"/>
      <c r="F1527" s="645"/>
      <c r="G1527" s="645"/>
      <c r="H1527" s="645"/>
      <c r="I1527" s="645"/>
      <c r="J1527" s="645"/>
      <c r="K1527" s="645"/>
      <c r="L1527" s="645"/>
      <c r="M1527" s="645"/>
      <c r="N1527" s="645"/>
      <c r="O1527" s="645"/>
      <c r="P1527" s="645"/>
      <c r="Q1527" s="645"/>
      <c r="R1527" s="645"/>
      <c r="S1527" s="645"/>
      <c r="T1527" s="645"/>
      <c r="U1527" s="645"/>
      <c r="V1527" s="645"/>
      <c r="W1527" s="645"/>
      <c r="X1527" s="645"/>
      <c r="Y1527" s="645"/>
      <c r="Z1527" s="454" t="s">
        <v>638</v>
      </c>
      <c r="AA1527" s="454"/>
      <c r="AB1527" s="454"/>
      <c r="AC1527" s="454"/>
      <c r="AD1527" s="454"/>
      <c r="AE1527" s="635" t="s">
        <v>636</v>
      </c>
      <c r="AF1527" s="635"/>
      <c r="AG1527" s="635"/>
      <c r="AH1527" s="635"/>
      <c r="AI1527" s="635"/>
      <c r="AJ1527" s="635"/>
      <c r="AK1527" s="635"/>
      <c r="AL1527" s="635"/>
      <c r="AM1527" s="635"/>
      <c r="AN1527" s="352" t="s">
        <v>881</v>
      </c>
      <c r="AO1527" s="353"/>
      <c r="AP1527" s="353"/>
      <c r="AQ1527" s="353"/>
      <c r="AR1527" s="353"/>
      <c r="AS1527" s="354"/>
      <c r="AT1527" s="47"/>
      <c r="AU1527" s="47"/>
      <c r="AW1527" s="249"/>
      <c r="AX1527" s="35"/>
    </row>
    <row r="1528" spans="1:50" ht="13.5" customHeight="1" x14ac:dyDescent="0.25">
      <c r="C1528" s="645" t="s">
        <v>626</v>
      </c>
      <c r="D1528" s="645"/>
      <c r="E1528" s="645"/>
      <c r="F1528" s="645"/>
      <c r="G1528" s="645"/>
      <c r="H1528" s="645"/>
      <c r="I1528" s="645"/>
      <c r="J1528" s="645"/>
      <c r="K1528" s="645"/>
      <c r="L1528" s="645"/>
      <c r="M1528" s="645"/>
      <c r="N1528" s="645"/>
      <c r="O1528" s="645"/>
      <c r="P1528" s="645"/>
      <c r="Q1528" s="645"/>
      <c r="R1528" s="645"/>
      <c r="S1528" s="645"/>
      <c r="T1528" s="645"/>
      <c r="U1528" s="645"/>
      <c r="V1528" s="645"/>
      <c r="W1528" s="645"/>
      <c r="X1528" s="645"/>
      <c r="Y1528" s="645"/>
      <c r="Z1528" s="454" t="s">
        <v>639</v>
      </c>
      <c r="AA1528" s="454"/>
      <c r="AB1528" s="454"/>
      <c r="AC1528" s="454"/>
      <c r="AD1528" s="454"/>
      <c r="AE1528" s="635" t="s">
        <v>636</v>
      </c>
      <c r="AF1528" s="635"/>
      <c r="AG1528" s="635"/>
      <c r="AH1528" s="635"/>
      <c r="AI1528" s="635"/>
      <c r="AJ1528" s="635"/>
      <c r="AK1528" s="635"/>
      <c r="AL1528" s="635"/>
      <c r="AM1528" s="635"/>
      <c r="AN1528" s="352" t="s">
        <v>881</v>
      </c>
      <c r="AO1528" s="353"/>
      <c r="AP1528" s="353"/>
      <c r="AQ1528" s="353"/>
      <c r="AR1528" s="353"/>
      <c r="AS1528" s="354"/>
      <c r="AT1528" s="47"/>
      <c r="AU1528" s="47"/>
      <c r="AW1528" s="249"/>
      <c r="AX1528" s="35"/>
    </row>
    <row r="1529" spans="1:50" ht="13.5" customHeight="1" x14ac:dyDescent="0.25">
      <c r="C1529" s="645" t="s">
        <v>625</v>
      </c>
      <c r="D1529" s="645"/>
      <c r="E1529" s="645"/>
      <c r="F1529" s="645"/>
      <c r="G1529" s="645"/>
      <c r="H1529" s="645"/>
      <c r="I1529" s="645"/>
      <c r="J1529" s="645"/>
      <c r="K1529" s="645"/>
      <c r="L1529" s="645"/>
      <c r="M1529" s="645"/>
      <c r="N1529" s="645"/>
      <c r="O1529" s="645"/>
      <c r="P1529" s="645"/>
      <c r="Q1529" s="645"/>
      <c r="R1529" s="645"/>
      <c r="S1529" s="645"/>
      <c r="T1529" s="645"/>
      <c r="U1529" s="645"/>
      <c r="V1529" s="645"/>
      <c r="W1529" s="645"/>
      <c r="X1529" s="645"/>
      <c r="Y1529" s="645"/>
      <c r="Z1529" s="454" t="s">
        <v>424</v>
      </c>
      <c r="AA1529" s="454"/>
      <c r="AB1529" s="454"/>
      <c r="AC1529" s="454"/>
      <c r="AD1529" s="454"/>
      <c r="AE1529" s="635" t="s">
        <v>636</v>
      </c>
      <c r="AF1529" s="635"/>
      <c r="AG1529" s="635"/>
      <c r="AH1529" s="635"/>
      <c r="AI1529" s="635"/>
      <c r="AJ1529" s="635"/>
      <c r="AK1529" s="635"/>
      <c r="AL1529" s="635"/>
      <c r="AM1529" s="635"/>
      <c r="AN1529" s="352" t="s">
        <v>881</v>
      </c>
      <c r="AO1529" s="353"/>
      <c r="AP1529" s="353"/>
      <c r="AQ1529" s="353"/>
      <c r="AR1529" s="353"/>
      <c r="AS1529" s="354"/>
      <c r="AT1529" s="47"/>
      <c r="AU1529" s="47"/>
      <c r="AW1529" s="249"/>
      <c r="AX1529" s="35"/>
    </row>
    <row r="1530" spans="1:50" ht="13.5" customHeight="1" x14ac:dyDescent="0.25">
      <c r="C1530" s="645" t="s">
        <v>624</v>
      </c>
      <c r="D1530" s="645"/>
      <c r="E1530" s="645"/>
      <c r="F1530" s="645"/>
      <c r="G1530" s="645"/>
      <c r="H1530" s="645"/>
      <c r="I1530" s="645"/>
      <c r="J1530" s="645"/>
      <c r="K1530" s="645"/>
      <c r="L1530" s="645"/>
      <c r="M1530" s="645"/>
      <c r="N1530" s="645"/>
      <c r="O1530" s="645"/>
      <c r="P1530" s="645"/>
      <c r="Q1530" s="645"/>
      <c r="R1530" s="645"/>
      <c r="S1530" s="645"/>
      <c r="T1530" s="645"/>
      <c r="U1530" s="645"/>
      <c r="V1530" s="645"/>
      <c r="W1530" s="645"/>
      <c r="X1530" s="645"/>
      <c r="Y1530" s="645"/>
      <c r="Z1530" s="454" t="s">
        <v>647</v>
      </c>
      <c r="AA1530" s="454"/>
      <c r="AB1530" s="454"/>
      <c r="AC1530" s="454"/>
      <c r="AD1530" s="454"/>
      <c r="AE1530" s="635" t="s">
        <v>636</v>
      </c>
      <c r="AF1530" s="635"/>
      <c r="AG1530" s="635"/>
      <c r="AH1530" s="635"/>
      <c r="AI1530" s="635"/>
      <c r="AJ1530" s="635"/>
      <c r="AK1530" s="635"/>
      <c r="AL1530" s="635"/>
      <c r="AM1530" s="635"/>
      <c r="AN1530" s="352" t="s">
        <v>881</v>
      </c>
      <c r="AO1530" s="353"/>
      <c r="AP1530" s="353"/>
      <c r="AQ1530" s="353"/>
      <c r="AR1530" s="353"/>
      <c r="AS1530" s="354"/>
      <c r="AT1530" s="47"/>
      <c r="AU1530" s="47"/>
      <c r="AW1530" s="249"/>
      <c r="AX1530" s="35"/>
    </row>
    <row r="1531" spans="1:50" x14ac:dyDescent="0.25">
      <c r="AW1531" s="35"/>
      <c r="AX1531" s="35"/>
    </row>
    <row r="1532" spans="1:50" x14ac:dyDescent="0.25">
      <c r="AW1532" s="35"/>
      <c r="AX1532" s="35"/>
    </row>
    <row r="1533" spans="1:50" ht="15.75" x14ac:dyDescent="0.25">
      <c r="A1533" s="26"/>
      <c r="B1533" s="26"/>
      <c r="C1533" s="42" t="s">
        <v>598</v>
      </c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W1533" s="35"/>
      <c r="AX1533" s="35"/>
    </row>
    <row r="1534" spans="1:50" x14ac:dyDescent="0.25">
      <c r="AW1534" s="35"/>
      <c r="AX1534" s="35"/>
    </row>
    <row r="1535" spans="1:50" s="2" customFormat="1" ht="15.75" x14ac:dyDescent="0.25">
      <c r="A1535" s="70"/>
      <c r="B1535" s="26"/>
      <c r="C1535" s="42" t="s">
        <v>398</v>
      </c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W1535" s="35"/>
      <c r="AX1535" s="35"/>
    </row>
    <row r="1536" spans="1:50" s="35" customFormat="1" x14ac:dyDescent="0.25">
      <c r="A1536" s="58"/>
      <c r="B1536" s="58"/>
      <c r="C1536" s="629" t="s">
        <v>80</v>
      </c>
      <c r="D1536" s="629"/>
      <c r="E1536" s="629"/>
      <c r="F1536" s="629"/>
      <c r="G1536" s="629"/>
      <c r="H1536" s="629"/>
      <c r="I1536" s="629"/>
      <c r="J1536" s="629"/>
      <c r="K1536" s="629"/>
      <c r="L1536" s="629"/>
      <c r="M1536" s="629" t="s">
        <v>161</v>
      </c>
      <c r="N1536" s="629"/>
      <c r="O1536" s="629"/>
      <c r="P1536" s="629"/>
      <c r="Q1536" s="629"/>
      <c r="R1536" s="629"/>
      <c r="S1536" s="629"/>
      <c r="T1536" s="629"/>
      <c r="U1536" s="629"/>
      <c r="V1536" s="629"/>
      <c r="W1536" s="629"/>
      <c r="X1536" s="629"/>
      <c r="Y1536" s="629"/>
      <c r="Z1536" s="629"/>
      <c r="AA1536" s="629"/>
      <c r="AB1536" s="629"/>
      <c r="AC1536" s="629"/>
      <c r="AD1536" s="629"/>
      <c r="AE1536" s="629"/>
      <c r="AF1536" s="629"/>
      <c r="AG1536" s="629"/>
      <c r="AH1536" s="629"/>
      <c r="AI1536" s="629"/>
      <c r="AJ1536" s="629"/>
      <c r="AK1536" s="629"/>
      <c r="AL1536" s="629"/>
      <c r="AM1536" s="629"/>
      <c r="AN1536" s="485" t="s">
        <v>907</v>
      </c>
      <c r="AO1536" s="485"/>
      <c r="AP1536" s="485"/>
      <c r="AQ1536" s="485"/>
      <c r="AR1536" s="485"/>
      <c r="AS1536" s="485"/>
    </row>
    <row r="1537" spans="1:50" s="35" customFormat="1" ht="15.75" customHeight="1" x14ac:dyDescent="0.25">
      <c r="A1537" s="58"/>
      <c r="B1537" s="58"/>
      <c r="C1537" s="647" t="s">
        <v>397</v>
      </c>
      <c r="D1537" s="647"/>
      <c r="E1537" s="647"/>
      <c r="F1537" s="647"/>
      <c r="G1537" s="647"/>
      <c r="H1537" s="647"/>
      <c r="I1537" s="647"/>
      <c r="J1537" s="647"/>
      <c r="K1537" s="647"/>
      <c r="L1537" s="647"/>
      <c r="M1537" s="646" t="s">
        <v>401</v>
      </c>
      <c r="N1537" s="646"/>
      <c r="O1537" s="646"/>
      <c r="P1537" s="646"/>
      <c r="Q1537" s="646"/>
      <c r="R1537" s="646"/>
      <c r="S1537" s="646"/>
      <c r="T1537" s="646"/>
      <c r="U1537" s="646"/>
      <c r="V1537" s="646"/>
      <c r="W1537" s="646"/>
      <c r="X1537" s="646"/>
      <c r="Y1537" s="646"/>
      <c r="Z1537" s="646"/>
      <c r="AA1537" s="646"/>
      <c r="AB1537" s="646"/>
      <c r="AC1537" s="646"/>
      <c r="AD1537" s="646"/>
      <c r="AE1537" s="646"/>
      <c r="AF1537" s="646"/>
      <c r="AG1537" s="646"/>
      <c r="AH1537" s="646"/>
      <c r="AI1537" s="646"/>
      <c r="AJ1537" s="646"/>
      <c r="AK1537" s="646"/>
      <c r="AL1537" s="646"/>
      <c r="AM1537" s="646"/>
      <c r="AN1537" s="352" t="s">
        <v>881</v>
      </c>
      <c r="AO1537" s="353"/>
      <c r="AP1537" s="353"/>
      <c r="AQ1537" s="353"/>
      <c r="AR1537" s="353"/>
      <c r="AS1537" s="354"/>
    </row>
    <row r="1538" spans="1:50" s="35" customFormat="1" x14ac:dyDescent="0.25">
      <c r="A1538" s="58"/>
      <c r="B1538" s="58"/>
      <c r="C1538" s="637" t="s">
        <v>395</v>
      </c>
      <c r="D1538" s="637"/>
      <c r="E1538" s="637"/>
      <c r="F1538" s="637"/>
      <c r="G1538" s="637"/>
      <c r="H1538" s="637"/>
      <c r="I1538" s="637"/>
      <c r="J1538" s="637"/>
      <c r="K1538" s="637"/>
      <c r="L1538" s="637"/>
      <c r="M1538" s="646" t="s">
        <v>402</v>
      </c>
      <c r="N1538" s="646"/>
      <c r="O1538" s="646"/>
      <c r="P1538" s="646"/>
      <c r="Q1538" s="646"/>
      <c r="R1538" s="646"/>
      <c r="S1538" s="646"/>
      <c r="T1538" s="646"/>
      <c r="U1538" s="646"/>
      <c r="V1538" s="646"/>
      <c r="W1538" s="646"/>
      <c r="X1538" s="646"/>
      <c r="Y1538" s="646"/>
      <c r="Z1538" s="646"/>
      <c r="AA1538" s="646"/>
      <c r="AB1538" s="646"/>
      <c r="AC1538" s="646"/>
      <c r="AD1538" s="646"/>
      <c r="AE1538" s="646"/>
      <c r="AF1538" s="646"/>
      <c r="AG1538" s="646"/>
      <c r="AH1538" s="646"/>
      <c r="AI1538" s="646"/>
      <c r="AJ1538" s="646"/>
      <c r="AK1538" s="646"/>
      <c r="AL1538" s="646"/>
      <c r="AM1538" s="646"/>
      <c r="AN1538" s="352" t="s">
        <v>881</v>
      </c>
      <c r="AO1538" s="353"/>
      <c r="AP1538" s="353"/>
      <c r="AQ1538" s="353"/>
      <c r="AR1538" s="353"/>
      <c r="AS1538" s="354"/>
    </row>
    <row r="1539" spans="1:50" s="35" customFormat="1" x14ac:dyDescent="0.25">
      <c r="A1539" s="58"/>
      <c r="B1539" s="58"/>
      <c r="C1539" s="637" t="s">
        <v>396</v>
      </c>
      <c r="D1539" s="637"/>
      <c r="E1539" s="637"/>
      <c r="F1539" s="637"/>
      <c r="G1539" s="637"/>
      <c r="H1539" s="637"/>
      <c r="I1539" s="637"/>
      <c r="J1539" s="637"/>
      <c r="K1539" s="637"/>
      <c r="L1539" s="637"/>
      <c r="M1539" s="646" t="s">
        <v>402</v>
      </c>
      <c r="N1539" s="646"/>
      <c r="O1539" s="646"/>
      <c r="P1539" s="646"/>
      <c r="Q1539" s="646"/>
      <c r="R1539" s="646"/>
      <c r="S1539" s="646"/>
      <c r="T1539" s="646"/>
      <c r="U1539" s="646"/>
      <c r="V1539" s="646"/>
      <c r="W1539" s="646"/>
      <c r="X1539" s="646"/>
      <c r="Y1539" s="646"/>
      <c r="Z1539" s="646"/>
      <c r="AA1539" s="646"/>
      <c r="AB1539" s="646"/>
      <c r="AC1539" s="646"/>
      <c r="AD1539" s="646"/>
      <c r="AE1539" s="646"/>
      <c r="AF1539" s="646"/>
      <c r="AG1539" s="646"/>
      <c r="AH1539" s="646"/>
      <c r="AI1539" s="646"/>
      <c r="AJ1539" s="646"/>
      <c r="AK1539" s="646"/>
      <c r="AL1539" s="646"/>
      <c r="AM1539" s="646"/>
      <c r="AN1539" s="352" t="s">
        <v>881</v>
      </c>
      <c r="AO1539" s="353"/>
      <c r="AP1539" s="353"/>
      <c r="AQ1539" s="353"/>
      <c r="AR1539" s="353"/>
      <c r="AS1539" s="354"/>
    </row>
    <row r="1540" spans="1:50" s="35" customFormat="1" x14ac:dyDescent="0.25">
      <c r="A1540" s="58"/>
      <c r="B1540" s="58"/>
      <c r="C1540" s="637" t="s">
        <v>399</v>
      </c>
      <c r="D1540" s="637"/>
      <c r="E1540" s="637"/>
      <c r="F1540" s="637"/>
      <c r="G1540" s="637"/>
      <c r="H1540" s="637"/>
      <c r="I1540" s="637"/>
      <c r="J1540" s="637"/>
      <c r="K1540" s="637"/>
      <c r="L1540" s="637"/>
      <c r="M1540" s="646" t="s">
        <v>403</v>
      </c>
      <c r="N1540" s="646"/>
      <c r="O1540" s="646"/>
      <c r="P1540" s="646"/>
      <c r="Q1540" s="646"/>
      <c r="R1540" s="646"/>
      <c r="S1540" s="646"/>
      <c r="T1540" s="646"/>
      <c r="U1540" s="646"/>
      <c r="V1540" s="646"/>
      <c r="W1540" s="646"/>
      <c r="X1540" s="646"/>
      <c r="Y1540" s="646"/>
      <c r="Z1540" s="646"/>
      <c r="AA1540" s="646"/>
      <c r="AB1540" s="646"/>
      <c r="AC1540" s="646"/>
      <c r="AD1540" s="646"/>
      <c r="AE1540" s="646"/>
      <c r="AF1540" s="646"/>
      <c r="AG1540" s="646"/>
      <c r="AH1540" s="646"/>
      <c r="AI1540" s="646"/>
      <c r="AJ1540" s="646"/>
      <c r="AK1540" s="646"/>
      <c r="AL1540" s="646"/>
      <c r="AM1540" s="646"/>
      <c r="AN1540" s="352" t="s">
        <v>881</v>
      </c>
      <c r="AO1540" s="353"/>
      <c r="AP1540" s="353"/>
      <c r="AQ1540" s="353"/>
      <c r="AR1540" s="353"/>
      <c r="AS1540" s="354"/>
    </row>
    <row r="1541" spans="1:50" x14ac:dyDescent="0.25">
      <c r="C1541" s="648" t="s">
        <v>585</v>
      </c>
      <c r="D1541" s="648"/>
      <c r="E1541" s="648"/>
      <c r="F1541" s="648"/>
      <c r="G1541" s="648"/>
      <c r="H1541" s="648"/>
      <c r="I1541" s="648"/>
      <c r="J1541" s="648"/>
      <c r="K1541" s="648"/>
      <c r="L1541" s="649"/>
      <c r="M1541" s="646" t="s">
        <v>403</v>
      </c>
      <c r="N1541" s="646"/>
      <c r="O1541" s="646"/>
      <c r="P1541" s="646"/>
      <c r="Q1541" s="646"/>
      <c r="R1541" s="646"/>
      <c r="S1541" s="646"/>
      <c r="T1541" s="646"/>
      <c r="U1541" s="646"/>
      <c r="V1541" s="646"/>
      <c r="W1541" s="646"/>
      <c r="X1541" s="646"/>
      <c r="Y1541" s="646"/>
      <c r="Z1541" s="646"/>
      <c r="AA1541" s="646"/>
      <c r="AB1541" s="646"/>
      <c r="AC1541" s="646"/>
      <c r="AD1541" s="646"/>
      <c r="AE1541" s="646"/>
      <c r="AF1541" s="646"/>
      <c r="AG1541" s="646"/>
      <c r="AH1541" s="646"/>
      <c r="AI1541" s="646"/>
      <c r="AJ1541" s="646"/>
      <c r="AK1541" s="646"/>
      <c r="AL1541" s="646"/>
      <c r="AM1541" s="646"/>
      <c r="AN1541" s="352" t="s">
        <v>881</v>
      </c>
      <c r="AO1541" s="353"/>
      <c r="AP1541" s="353"/>
      <c r="AQ1541" s="353"/>
      <c r="AR1541" s="353"/>
      <c r="AS1541" s="354"/>
      <c r="AW1541" s="35"/>
      <c r="AX1541" s="35"/>
    </row>
    <row r="1542" spans="1:50" x14ac:dyDescent="0.25">
      <c r="AW1542" s="35"/>
      <c r="AX1542" s="35"/>
    </row>
    <row r="1543" spans="1:50" x14ac:dyDescent="0.25">
      <c r="C1543" s="653" t="s">
        <v>400</v>
      </c>
      <c r="D1543" s="654"/>
      <c r="E1543" s="654"/>
      <c r="F1543" s="654"/>
      <c r="G1543" s="654"/>
      <c r="H1543" s="654"/>
      <c r="I1543" s="654"/>
      <c r="J1543" s="654"/>
      <c r="K1543" s="654"/>
      <c r="L1543" s="654"/>
      <c r="M1543" s="654"/>
      <c r="N1543" s="654"/>
      <c r="O1543" s="654"/>
      <c r="P1543" s="654"/>
      <c r="Q1543" s="654"/>
      <c r="R1543" s="654"/>
      <c r="S1543" s="654"/>
      <c r="T1543" s="654"/>
      <c r="U1543" s="654"/>
      <c r="V1543" s="654"/>
      <c r="W1543" s="654"/>
      <c r="X1543" s="654"/>
      <c r="Y1543" s="654"/>
      <c r="Z1543" s="654"/>
      <c r="AA1543" s="654"/>
      <c r="AB1543" s="654"/>
      <c r="AC1543" s="654"/>
      <c r="AD1543" s="654"/>
      <c r="AE1543" s="654"/>
      <c r="AF1543" s="654"/>
      <c r="AG1543" s="654"/>
      <c r="AH1543" s="654"/>
      <c r="AI1543" s="654"/>
      <c r="AJ1543" s="654"/>
      <c r="AK1543" s="654"/>
      <c r="AL1543" s="654"/>
      <c r="AM1543" s="654"/>
      <c r="AN1543" s="654"/>
      <c r="AO1543" s="654"/>
      <c r="AP1543" s="654"/>
      <c r="AQ1543" s="654"/>
      <c r="AR1543" s="654"/>
      <c r="AS1543" s="655"/>
      <c r="AW1543" s="35"/>
      <c r="AX1543" s="35"/>
    </row>
    <row r="1544" spans="1:50" ht="12.75" x14ac:dyDescent="0.2">
      <c r="A1544" s="44"/>
      <c r="B1544" s="44"/>
      <c r="C1544" s="629" t="s">
        <v>80</v>
      </c>
      <c r="D1544" s="629"/>
      <c r="E1544" s="629"/>
      <c r="F1544" s="629"/>
      <c r="G1544" s="629"/>
      <c r="H1544" s="629"/>
      <c r="I1544" s="629"/>
      <c r="J1544" s="629"/>
      <c r="K1544" s="629"/>
      <c r="L1544" s="629"/>
      <c r="M1544" s="656" t="s">
        <v>723</v>
      </c>
      <c r="N1544" s="656"/>
      <c r="O1544" s="656"/>
      <c r="P1544" s="656"/>
      <c r="Q1544" s="656"/>
      <c r="R1544" s="656"/>
      <c r="S1544" s="656"/>
      <c r="T1544" s="656"/>
      <c r="U1544" s="656"/>
      <c r="V1544" s="656"/>
      <c r="W1544" s="656"/>
      <c r="X1544" s="656"/>
      <c r="Y1544" s="656"/>
      <c r="Z1544" s="656"/>
      <c r="AA1544" s="656"/>
      <c r="AB1544" s="656"/>
      <c r="AC1544" s="656"/>
      <c r="AD1544" s="656"/>
      <c r="AE1544" s="629" t="s">
        <v>161</v>
      </c>
      <c r="AF1544" s="629"/>
      <c r="AG1544" s="629"/>
      <c r="AH1544" s="629"/>
      <c r="AI1544" s="629"/>
      <c r="AJ1544" s="629"/>
      <c r="AK1544" s="629"/>
      <c r="AL1544" s="629"/>
      <c r="AM1544" s="629"/>
      <c r="AN1544" s="485" t="s">
        <v>907</v>
      </c>
      <c r="AO1544" s="485"/>
      <c r="AP1544" s="485"/>
      <c r="AQ1544" s="485"/>
      <c r="AR1544" s="485"/>
      <c r="AS1544" s="485"/>
      <c r="AW1544" s="35"/>
      <c r="AX1544" s="35"/>
    </row>
    <row r="1545" spans="1:50" ht="13.5" customHeight="1" x14ac:dyDescent="0.2">
      <c r="A1545" s="44"/>
      <c r="B1545" s="44"/>
      <c r="C1545" s="657" t="s">
        <v>392</v>
      </c>
      <c r="D1545" s="657"/>
      <c r="E1545" s="657"/>
      <c r="F1545" s="657"/>
      <c r="G1545" s="657"/>
      <c r="H1545" s="657"/>
      <c r="I1545" s="657"/>
      <c r="J1545" s="657"/>
      <c r="K1545" s="657"/>
      <c r="L1545" s="657"/>
      <c r="M1545" s="657"/>
      <c r="N1545" s="657"/>
      <c r="O1545" s="657"/>
      <c r="P1545" s="657"/>
      <c r="Q1545" s="657"/>
      <c r="R1545" s="657"/>
      <c r="S1545" s="657"/>
      <c r="T1545" s="657"/>
      <c r="U1545" s="657"/>
      <c r="V1545" s="657"/>
      <c r="W1545" s="657"/>
      <c r="X1545" s="657"/>
      <c r="Y1545" s="657"/>
      <c r="Z1545" s="657"/>
      <c r="AA1545" s="657"/>
      <c r="AB1545" s="657"/>
      <c r="AC1545" s="657"/>
      <c r="AD1545" s="657"/>
      <c r="AE1545" s="657"/>
      <c r="AF1545" s="657"/>
      <c r="AG1545" s="657"/>
      <c r="AH1545" s="657"/>
      <c r="AI1545" s="657"/>
      <c r="AJ1545" s="657"/>
      <c r="AK1545" s="657"/>
      <c r="AL1545" s="657"/>
      <c r="AM1545" s="657"/>
      <c r="AN1545" s="657"/>
      <c r="AO1545" s="657"/>
      <c r="AP1545" s="657"/>
      <c r="AQ1545" s="657"/>
      <c r="AR1545" s="657"/>
      <c r="AS1545" s="657"/>
      <c r="AW1545" s="35"/>
      <c r="AX1545" s="35"/>
    </row>
    <row r="1546" spans="1:50" ht="12.75" x14ac:dyDescent="0.2">
      <c r="A1546" s="44"/>
      <c r="B1546" s="44"/>
      <c r="C1546" s="651" t="s">
        <v>880</v>
      </c>
      <c r="D1546" s="651"/>
      <c r="E1546" s="651"/>
      <c r="F1546" s="651"/>
      <c r="G1546" s="651"/>
      <c r="H1546" s="651"/>
      <c r="I1546" s="651"/>
      <c r="J1546" s="651"/>
      <c r="K1546" s="651"/>
      <c r="L1546" s="651"/>
      <c r="M1546" s="629" t="s">
        <v>384</v>
      </c>
      <c r="N1546" s="629"/>
      <c r="O1546" s="629"/>
      <c r="P1546" s="629"/>
      <c r="Q1546" s="629"/>
      <c r="R1546" s="629"/>
      <c r="S1546" s="629"/>
      <c r="T1546" s="629"/>
      <c r="U1546" s="629"/>
      <c r="V1546" s="629"/>
      <c r="W1546" s="629"/>
      <c r="X1546" s="629"/>
      <c r="Y1546" s="629"/>
      <c r="Z1546" s="629"/>
      <c r="AA1546" s="629"/>
      <c r="AB1546" s="629"/>
      <c r="AC1546" s="629"/>
      <c r="AD1546" s="629"/>
      <c r="AE1546" s="652"/>
      <c r="AF1546" s="652"/>
      <c r="AG1546" s="652"/>
      <c r="AH1546" s="652"/>
      <c r="AI1546" s="652"/>
      <c r="AJ1546" s="652"/>
      <c r="AK1546" s="652"/>
      <c r="AL1546" s="652"/>
      <c r="AM1546" s="652"/>
      <c r="AN1546" s="352" t="s">
        <v>881</v>
      </c>
      <c r="AO1546" s="353"/>
      <c r="AP1546" s="353"/>
      <c r="AQ1546" s="353"/>
      <c r="AR1546" s="353"/>
      <c r="AS1546" s="354"/>
      <c r="AW1546" s="35"/>
      <c r="AX1546" s="35"/>
    </row>
    <row r="1547" spans="1:50" ht="12.75" x14ac:dyDescent="0.2">
      <c r="A1547" s="44"/>
      <c r="B1547" s="44"/>
      <c r="C1547" s="651"/>
      <c r="D1547" s="651"/>
      <c r="E1547" s="651"/>
      <c r="F1547" s="651"/>
      <c r="G1547" s="651"/>
      <c r="H1547" s="651"/>
      <c r="I1547" s="651"/>
      <c r="J1547" s="651"/>
      <c r="K1547" s="651"/>
      <c r="L1547" s="651"/>
      <c r="M1547" s="629" t="s">
        <v>382</v>
      </c>
      <c r="N1547" s="629"/>
      <c r="O1547" s="629"/>
      <c r="P1547" s="629"/>
      <c r="Q1547" s="629"/>
      <c r="R1547" s="629"/>
      <c r="S1547" s="629"/>
      <c r="T1547" s="629"/>
      <c r="U1547" s="629"/>
      <c r="V1547" s="629"/>
      <c r="W1547" s="629"/>
      <c r="X1547" s="629"/>
      <c r="Y1547" s="629"/>
      <c r="Z1547" s="629"/>
      <c r="AA1547" s="629"/>
      <c r="AB1547" s="629"/>
      <c r="AC1547" s="629"/>
      <c r="AD1547" s="629"/>
      <c r="AE1547" s="652"/>
      <c r="AF1547" s="652"/>
      <c r="AG1547" s="652"/>
      <c r="AH1547" s="652"/>
      <c r="AI1547" s="652"/>
      <c r="AJ1547" s="652"/>
      <c r="AK1547" s="652"/>
      <c r="AL1547" s="652"/>
      <c r="AM1547" s="652"/>
      <c r="AN1547" s="352" t="s">
        <v>881</v>
      </c>
      <c r="AO1547" s="353"/>
      <c r="AP1547" s="353"/>
      <c r="AQ1547" s="353"/>
      <c r="AR1547" s="353"/>
      <c r="AS1547" s="354"/>
      <c r="AW1547" s="35"/>
      <c r="AX1547" s="35"/>
    </row>
    <row r="1548" spans="1:50" ht="12.75" x14ac:dyDescent="0.2">
      <c r="A1548" s="44"/>
      <c r="B1548" s="44"/>
      <c r="C1548" s="651"/>
      <c r="D1548" s="651"/>
      <c r="E1548" s="651"/>
      <c r="F1548" s="651"/>
      <c r="G1548" s="651"/>
      <c r="H1548" s="651"/>
      <c r="I1548" s="651"/>
      <c r="J1548" s="651"/>
      <c r="K1548" s="651"/>
      <c r="L1548" s="651"/>
      <c r="M1548" s="629" t="s">
        <v>385</v>
      </c>
      <c r="N1548" s="629"/>
      <c r="O1548" s="629"/>
      <c r="P1548" s="629"/>
      <c r="Q1548" s="629"/>
      <c r="R1548" s="629"/>
      <c r="S1548" s="629"/>
      <c r="T1548" s="629"/>
      <c r="U1548" s="629"/>
      <c r="V1548" s="629"/>
      <c r="W1548" s="629"/>
      <c r="X1548" s="629"/>
      <c r="Y1548" s="629"/>
      <c r="Z1548" s="629"/>
      <c r="AA1548" s="629"/>
      <c r="AB1548" s="629"/>
      <c r="AC1548" s="629"/>
      <c r="AD1548" s="629"/>
      <c r="AE1548" s="652"/>
      <c r="AF1548" s="652"/>
      <c r="AG1548" s="652"/>
      <c r="AH1548" s="652"/>
      <c r="AI1548" s="652"/>
      <c r="AJ1548" s="652"/>
      <c r="AK1548" s="652"/>
      <c r="AL1548" s="652"/>
      <c r="AM1548" s="652"/>
      <c r="AN1548" s="352" t="s">
        <v>881</v>
      </c>
      <c r="AO1548" s="353"/>
      <c r="AP1548" s="353"/>
      <c r="AQ1548" s="353"/>
      <c r="AR1548" s="353"/>
      <c r="AS1548" s="354"/>
      <c r="AW1548" s="35"/>
      <c r="AX1548" s="35"/>
    </row>
    <row r="1549" spans="1:50" ht="12.75" x14ac:dyDescent="0.2">
      <c r="A1549" s="44"/>
      <c r="B1549" s="44"/>
      <c r="C1549" s="650" t="s">
        <v>393</v>
      </c>
      <c r="D1549" s="650"/>
      <c r="E1549" s="650"/>
      <c r="F1549" s="650"/>
      <c r="G1549" s="650"/>
      <c r="H1549" s="650"/>
      <c r="I1549" s="650"/>
      <c r="J1549" s="650"/>
      <c r="K1549" s="650"/>
      <c r="L1549" s="650"/>
      <c r="M1549" s="650"/>
      <c r="N1549" s="650"/>
      <c r="O1549" s="650"/>
      <c r="P1549" s="650"/>
      <c r="Q1549" s="650"/>
      <c r="R1549" s="650"/>
      <c r="S1549" s="650"/>
      <c r="T1549" s="650"/>
      <c r="U1549" s="650"/>
      <c r="V1549" s="650"/>
      <c r="W1549" s="650"/>
      <c r="X1549" s="650"/>
      <c r="Y1549" s="650"/>
      <c r="Z1549" s="650"/>
      <c r="AA1549" s="650"/>
      <c r="AB1549" s="650"/>
      <c r="AC1549" s="650"/>
      <c r="AD1549" s="650"/>
      <c r="AE1549" s="650"/>
      <c r="AF1549" s="650"/>
      <c r="AG1549" s="650"/>
      <c r="AH1549" s="650"/>
      <c r="AI1549" s="650"/>
      <c r="AJ1549" s="650"/>
      <c r="AK1549" s="650"/>
      <c r="AL1549" s="650"/>
      <c r="AM1549" s="650"/>
      <c r="AN1549" s="650"/>
      <c r="AO1549" s="650"/>
      <c r="AP1549" s="650"/>
      <c r="AQ1549" s="650"/>
      <c r="AR1549" s="650"/>
      <c r="AS1549" s="650"/>
      <c r="AW1549" s="35"/>
      <c r="AX1549" s="35"/>
    </row>
    <row r="1550" spans="1:50" ht="15" customHeight="1" x14ac:dyDescent="0.25">
      <c r="C1550" s="651" t="s">
        <v>394</v>
      </c>
      <c r="D1550" s="651"/>
      <c r="E1550" s="651"/>
      <c r="F1550" s="651"/>
      <c r="G1550" s="651"/>
      <c r="H1550" s="651"/>
      <c r="I1550" s="651"/>
      <c r="J1550" s="651"/>
      <c r="K1550" s="651"/>
      <c r="L1550" s="651"/>
      <c r="M1550" s="629" t="s">
        <v>387</v>
      </c>
      <c r="N1550" s="629"/>
      <c r="O1550" s="629"/>
      <c r="P1550" s="629"/>
      <c r="Q1550" s="629"/>
      <c r="R1550" s="629"/>
      <c r="S1550" s="629"/>
      <c r="T1550" s="629"/>
      <c r="U1550" s="629"/>
      <c r="V1550" s="629"/>
      <c r="W1550" s="629"/>
      <c r="X1550" s="629"/>
      <c r="Y1550" s="629"/>
      <c r="Z1550" s="629"/>
      <c r="AA1550" s="629"/>
      <c r="AB1550" s="629"/>
      <c r="AC1550" s="629"/>
      <c r="AD1550" s="629"/>
      <c r="AE1550" s="652" t="s">
        <v>386</v>
      </c>
      <c r="AF1550" s="652"/>
      <c r="AG1550" s="652"/>
      <c r="AH1550" s="652"/>
      <c r="AI1550" s="652"/>
      <c r="AJ1550" s="652"/>
      <c r="AK1550" s="652"/>
      <c r="AL1550" s="652"/>
      <c r="AM1550" s="652"/>
      <c r="AN1550" s="352" t="s">
        <v>881</v>
      </c>
      <c r="AO1550" s="353"/>
      <c r="AP1550" s="353"/>
      <c r="AQ1550" s="353"/>
      <c r="AR1550" s="353"/>
      <c r="AS1550" s="354"/>
      <c r="AW1550" s="35"/>
      <c r="AX1550" s="35"/>
    </row>
    <row r="1551" spans="1:50" ht="12.75" x14ac:dyDescent="0.2">
      <c r="A1551" s="30"/>
      <c r="B1551" s="30"/>
      <c r="C1551" s="651"/>
      <c r="D1551" s="651"/>
      <c r="E1551" s="651"/>
      <c r="F1551" s="651"/>
      <c r="G1551" s="651"/>
      <c r="H1551" s="651"/>
      <c r="I1551" s="651"/>
      <c r="J1551" s="651"/>
      <c r="K1551" s="651"/>
      <c r="L1551" s="651"/>
      <c r="M1551" s="629" t="s">
        <v>383</v>
      </c>
      <c r="N1551" s="629"/>
      <c r="O1551" s="629"/>
      <c r="P1551" s="629"/>
      <c r="Q1551" s="629"/>
      <c r="R1551" s="629"/>
      <c r="S1551" s="629"/>
      <c r="T1551" s="629"/>
      <c r="U1551" s="629"/>
      <c r="V1551" s="629"/>
      <c r="W1551" s="629"/>
      <c r="X1551" s="629"/>
      <c r="Y1551" s="629"/>
      <c r="Z1551" s="629"/>
      <c r="AA1551" s="629"/>
      <c r="AB1551" s="629"/>
      <c r="AC1551" s="629"/>
      <c r="AD1551" s="629"/>
      <c r="AE1551" s="652"/>
      <c r="AF1551" s="652"/>
      <c r="AG1551" s="652"/>
      <c r="AH1551" s="652"/>
      <c r="AI1551" s="652"/>
      <c r="AJ1551" s="652"/>
      <c r="AK1551" s="652"/>
      <c r="AL1551" s="652"/>
      <c r="AM1551" s="652"/>
      <c r="AN1551" s="352" t="s">
        <v>881</v>
      </c>
      <c r="AO1551" s="353"/>
      <c r="AP1551" s="353"/>
      <c r="AQ1551" s="353"/>
      <c r="AR1551" s="353"/>
      <c r="AS1551" s="354"/>
      <c r="AW1551" s="35"/>
      <c r="AX1551" s="35"/>
    </row>
    <row r="1552" spans="1:50" ht="12.75" x14ac:dyDescent="0.2">
      <c r="A1552" s="30"/>
      <c r="B1552" s="30"/>
      <c r="C1552" s="651"/>
      <c r="D1552" s="651"/>
      <c r="E1552" s="651"/>
      <c r="F1552" s="651"/>
      <c r="G1552" s="651"/>
      <c r="H1552" s="651"/>
      <c r="I1552" s="651"/>
      <c r="J1552" s="651"/>
      <c r="K1552" s="651"/>
      <c r="L1552" s="651"/>
      <c r="M1552" s="629" t="s">
        <v>388</v>
      </c>
      <c r="N1552" s="629"/>
      <c r="O1552" s="629"/>
      <c r="P1552" s="629"/>
      <c r="Q1552" s="629"/>
      <c r="R1552" s="629"/>
      <c r="S1552" s="629"/>
      <c r="T1552" s="629"/>
      <c r="U1552" s="629"/>
      <c r="V1552" s="629"/>
      <c r="W1552" s="629"/>
      <c r="X1552" s="629"/>
      <c r="Y1552" s="629"/>
      <c r="Z1552" s="629"/>
      <c r="AA1552" s="629"/>
      <c r="AB1552" s="629"/>
      <c r="AC1552" s="629"/>
      <c r="AD1552" s="629"/>
      <c r="AE1552" s="652"/>
      <c r="AF1552" s="652"/>
      <c r="AG1552" s="652"/>
      <c r="AH1552" s="652"/>
      <c r="AI1552" s="652"/>
      <c r="AJ1552" s="652"/>
      <c r="AK1552" s="652"/>
      <c r="AL1552" s="652"/>
      <c r="AM1552" s="652"/>
      <c r="AN1552" s="352" t="s">
        <v>881</v>
      </c>
      <c r="AO1552" s="353"/>
      <c r="AP1552" s="353"/>
      <c r="AQ1552" s="353"/>
      <c r="AR1552" s="353"/>
      <c r="AS1552" s="354"/>
      <c r="AW1552" s="35"/>
      <c r="AX1552" s="35"/>
    </row>
    <row r="1553" spans="1:50" ht="12.75" x14ac:dyDescent="0.2">
      <c r="A1553" s="30"/>
      <c r="B1553" s="30"/>
      <c r="C1553" s="651"/>
      <c r="D1553" s="651"/>
      <c r="E1553" s="651"/>
      <c r="F1553" s="651"/>
      <c r="G1553" s="651"/>
      <c r="H1553" s="651"/>
      <c r="I1553" s="651"/>
      <c r="J1553" s="651"/>
      <c r="K1553" s="651"/>
      <c r="L1553" s="651"/>
      <c r="M1553" s="629" t="s">
        <v>389</v>
      </c>
      <c r="N1553" s="629"/>
      <c r="O1553" s="629"/>
      <c r="P1553" s="629"/>
      <c r="Q1553" s="629"/>
      <c r="R1553" s="629"/>
      <c r="S1553" s="629"/>
      <c r="T1553" s="629"/>
      <c r="U1553" s="629"/>
      <c r="V1553" s="629"/>
      <c r="W1553" s="629"/>
      <c r="X1553" s="629"/>
      <c r="Y1553" s="629"/>
      <c r="Z1553" s="629"/>
      <c r="AA1553" s="629"/>
      <c r="AB1553" s="629"/>
      <c r="AC1553" s="629"/>
      <c r="AD1553" s="629"/>
      <c r="AE1553" s="652"/>
      <c r="AF1553" s="652"/>
      <c r="AG1553" s="652"/>
      <c r="AH1553" s="652"/>
      <c r="AI1553" s="652"/>
      <c r="AJ1553" s="652"/>
      <c r="AK1553" s="652"/>
      <c r="AL1553" s="652"/>
      <c r="AM1553" s="652"/>
      <c r="AN1553" s="352" t="s">
        <v>881</v>
      </c>
      <c r="AO1553" s="353"/>
      <c r="AP1553" s="353"/>
      <c r="AQ1553" s="353"/>
      <c r="AR1553" s="353"/>
      <c r="AS1553" s="354"/>
      <c r="AW1553" s="35"/>
      <c r="AX1553" s="35"/>
    </row>
    <row r="1554" spans="1:50" ht="12.75" x14ac:dyDescent="0.2">
      <c r="A1554" s="30"/>
      <c r="B1554" s="30"/>
      <c r="C1554" s="651"/>
      <c r="D1554" s="651"/>
      <c r="E1554" s="651"/>
      <c r="F1554" s="651"/>
      <c r="G1554" s="651"/>
      <c r="H1554" s="651"/>
      <c r="I1554" s="651"/>
      <c r="J1554" s="651"/>
      <c r="K1554" s="651"/>
      <c r="L1554" s="651"/>
      <c r="M1554" s="629" t="s">
        <v>390</v>
      </c>
      <c r="N1554" s="629"/>
      <c r="O1554" s="629"/>
      <c r="P1554" s="629"/>
      <c r="Q1554" s="629"/>
      <c r="R1554" s="629"/>
      <c r="S1554" s="629"/>
      <c r="T1554" s="629"/>
      <c r="U1554" s="629"/>
      <c r="V1554" s="629"/>
      <c r="W1554" s="629"/>
      <c r="X1554" s="629"/>
      <c r="Y1554" s="629"/>
      <c r="Z1554" s="629"/>
      <c r="AA1554" s="629"/>
      <c r="AB1554" s="629"/>
      <c r="AC1554" s="629"/>
      <c r="AD1554" s="629"/>
      <c r="AE1554" s="652"/>
      <c r="AF1554" s="652"/>
      <c r="AG1554" s="652"/>
      <c r="AH1554" s="652"/>
      <c r="AI1554" s="652"/>
      <c r="AJ1554" s="652"/>
      <c r="AK1554" s="652"/>
      <c r="AL1554" s="652"/>
      <c r="AM1554" s="652"/>
      <c r="AN1554" s="352" t="s">
        <v>881</v>
      </c>
      <c r="AO1554" s="353"/>
      <c r="AP1554" s="353"/>
      <c r="AQ1554" s="353"/>
      <c r="AR1554" s="353"/>
      <c r="AS1554" s="354"/>
      <c r="AW1554" s="35"/>
      <c r="AX1554" s="35"/>
    </row>
    <row r="1555" spans="1:50" ht="12.75" x14ac:dyDescent="0.2">
      <c r="A1555" s="30"/>
      <c r="B1555" s="30"/>
      <c r="C1555" s="651"/>
      <c r="D1555" s="651"/>
      <c r="E1555" s="651"/>
      <c r="F1555" s="651"/>
      <c r="G1555" s="651"/>
      <c r="H1555" s="651"/>
      <c r="I1555" s="651"/>
      <c r="J1555" s="651"/>
      <c r="K1555" s="651"/>
      <c r="L1555" s="651"/>
      <c r="M1555" s="629" t="s">
        <v>391</v>
      </c>
      <c r="N1555" s="629"/>
      <c r="O1555" s="629"/>
      <c r="P1555" s="629"/>
      <c r="Q1555" s="629"/>
      <c r="R1555" s="629"/>
      <c r="S1555" s="629"/>
      <c r="T1555" s="629"/>
      <c r="U1555" s="629"/>
      <c r="V1555" s="629"/>
      <c r="W1555" s="629"/>
      <c r="X1555" s="629"/>
      <c r="Y1555" s="629"/>
      <c r="Z1555" s="629"/>
      <c r="AA1555" s="629"/>
      <c r="AB1555" s="629"/>
      <c r="AC1555" s="629"/>
      <c r="AD1555" s="629"/>
      <c r="AE1555" s="652"/>
      <c r="AF1555" s="652"/>
      <c r="AG1555" s="652"/>
      <c r="AH1555" s="652"/>
      <c r="AI1555" s="652"/>
      <c r="AJ1555" s="652"/>
      <c r="AK1555" s="652"/>
      <c r="AL1555" s="652"/>
      <c r="AM1555" s="652"/>
      <c r="AN1555" s="352" t="s">
        <v>881</v>
      </c>
      <c r="AO1555" s="353"/>
      <c r="AP1555" s="353"/>
      <c r="AQ1555" s="353"/>
      <c r="AR1555" s="353"/>
      <c r="AS1555" s="354"/>
      <c r="AW1555" s="35"/>
      <c r="AX1555" s="35"/>
    </row>
    <row r="1556" spans="1:50" ht="11.25" x14ac:dyDescent="0.2">
      <c r="A1556" s="30"/>
      <c r="B1556" s="30"/>
      <c r="AW1556" s="35"/>
      <c r="AX1556" s="35"/>
    </row>
    <row r="1557" spans="1:50" x14ac:dyDescent="0.25">
      <c r="AW1557" s="35"/>
      <c r="AX1557" s="35"/>
    </row>
  </sheetData>
  <mergeCells count="6889">
    <mergeCell ref="E1224:I1224"/>
    <mergeCell ref="E1225:I1225"/>
    <mergeCell ref="E1226:I1226"/>
    <mergeCell ref="E1227:I1227"/>
    <mergeCell ref="E1228:I1228"/>
    <mergeCell ref="E1229:I1229"/>
    <mergeCell ref="E1230:I1230"/>
    <mergeCell ref="E1231:I1231"/>
    <mergeCell ref="E1189:I1189"/>
    <mergeCell ref="E1190:I1190"/>
    <mergeCell ref="E1191:I1191"/>
    <mergeCell ref="E1283:I1283"/>
    <mergeCell ref="C1045:AS1045"/>
    <mergeCell ref="C1046:D1046"/>
    <mergeCell ref="E1046:I1046"/>
    <mergeCell ref="J1046:X1046"/>
    <mergeCell ref="Y1046:AA1046"/>
    <mergeCell ref="AB1046:AD1046"/>
    <mergeCell ref="AE1046:AG1046"/>
    <mergeCell ref="AH1046:AJ1046"/>
    <mergeCell ref="AK1046:AM1046"/>
    <mergeCell ref="AN1046:AS1046"/>
    <mergeCell ref="C1047:AS1047"/>
    <mergeCell ref="C1066:AS1066"/>
    <mergeCell ref="C1084:AS1084"/>
    <mergeCell ref="C1103:AS1103"/>
    <mergeCell ref="C1113:AS1113"/>
    <mergeCell ref="C1144:AS1144"/>
    <mergeCell ref="C1212:AS1212"/>
    <mergeCell ref="AE1083:AG1083"/>
    <mergeCell ref="C1112:D1112"/>
    <mergeCell ref="E1112:I1112"/>
    <mergeCell ref="E1265:I1265"/>
    <mergeCell ref="E1266:I1266"/>
    <mergeCell ref="E1267:I1267"/>
    <mergeCell ref="E1268:I1268"/>
    <mergeCell ref="E1269:I1269"/>
    <mergeCell ref="E1270:I1270"/>
    <mergeCell ref="E1271:I1271"/>
    <mergeCell ref="E1272:I1272"/>
    <mergeCell ref="E1273:I1273"/>
    <mergeCell ref="E1274:I1274"/>
    <mergeCell ref="E1275:I1275"/>
    <mergeCell ref="E1279:I1279"/>
    <mergeCell ref="E1280:I1280"/>
    <mergeCell ref="E1281:I1281"/>
    <mergeCell ref="C1276:AS1276"/>
    <mergeCell ref="C1277:D1277"/>
    <mergeCell ref="E1277:I1277"/>
    <mergeCell ref="J1277:X1277"/>
    <mergeCell ref="Y1277:AA1277"/>
    <mergeCell ref="AB1277:AD1277"/>
    <mergeCell ref="AE1277:AG1277"/>
    <mergeCell ref="AH1277:AJ1277"/>
    <mergeCell ref="AK1277:AM1277"/>
    <mergeCell ref="AN1277:AS1277"/>
    <mergeCell ref="C1278:AS1278"/>
    <mergeCell ref="J1279:X1279"/>
    <mergeCell ref="J1280:X1280"/>
    <mergeCell ref="J1281:X1281"/>
    <mergeCell ref="AB1275:AD1275"/>
    <mergeCell ref="AB1279:AD1279"/>
    <mergeCell ref="AB1280:AD1280"/>
    <mergeCell ref="AB1281:AD1281"/>
    <mergeCell ref="E1195:I1195"/>
    <mergeCell ref="E1196:I1196"/>
    <mergeCell ref="E1197:I1197"/>
    <mergeCell ref="E1198:I1198"/>
    <mergeCell ref="E1199:I1199"/>
    <mergeCell ref="E1200:I1200"/>
    <mergeCell ref="E1201:I1201"/>
    <mergeCell ref="E1202:I1202"/>
    <mergeCell ref="E1203:I1203"/>
    <mergeCell ref="E1204:I1204"/>
    <mergeCell ref="E1205:I1205"/>
    <mergeCell ref="E1206:I1206"/>
    <mergeCell ref="E1207:I1207"/>
    <mergeCell ref="E1157:I1157"/>
    <mergeCell ref="E1158:I1158"/>
    <mergeCell ref="E1159:I1159"/>
    <mergeCell ref="E1160:I1160"/>
    <mergeCell ref="E1161:I1161"/>
    <mergeCell ref="E1162:I1162"/>
    <mergeCell ref="E1163:I1163"/>
    <mergeCell ref="E1164:I1164"/>
    <mergeCell ref="E1165:I1165"/>
    <mergeCell ref="E1166:I1166"/>
    <mergeCell ref="E1167:I1167"/>
    <mergeCell ref="E1168:I1168"/>
    <mergeCell ref="E1169:I1169"/>
    <mergeCell ref="E1170:I1170"/>
    <mergeCell ref="E1171:I1171"/>
    <mergeCell ref="E1172:I1172"/>
    <mergeCell ref="E1114:I1114"/>
    <mergeCell ref="E1115:I1115"/>
    <mergeCell ref="E1116:I1116"/>
    <mergeCell ref="E1117:I1117"/>
    <mergeCell ref="E1118:I1118"/>
    <mergeCell ref="E1119:I1119"/>
    <mergeCell ref="C1111:AS1111"/>
    <mergeCell ref="C1114:D1114"/>
    <mergeCell ref="Y1112:AA1112"/>
    <mergeCell ref="AB1112:AD1112"/>
    <mergeCell ref="AE1112:AG1112"/>
    <mergeCell ref="E1192:I1192"/>
    <mergeCell ref="E1193:I1193"/>
    <mergeCell ref="E1194:I1194"/>
    <mergeCell ref="C1143:D1143"/>
    <mergeCell ref="E1143:I1143"/>
    <mergeCell ref="J1143:X1143"/>
    <mergeCell ref="Y1143:AA1143"/>
    <mergeCell ref="AB1143:AD1143"/>
    <mergeCell ref="AE1143:AG1143"/>
    <mergeCell ref="AH1143:AJ1143"/>
    <mergeCell ref="AK1143:AM1143"/>
    <mergeCell ref="AN1143:AS1143"/>
    <mergeCell ref="C1142:AS1142"/>
    <mergeCell ref="J1154:X1154"/>
    <mergeCell ref="J1155:X1155"/>
    <mergeCell ref="J1156:X1156"/>
    <mergeCell ref="J1122:X1122"/>
    <mergeCell ref="J1123:X1123"/>
    <mergeCell ref="C1138:D1138"/>
    <mergeCell ref="C1139:D1139"/>
    <mergeCell ref="C1140:D1140"/>
    <mergeCell ref="C1141:D1141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102:D1102"/>
    <mergeCell ref="C1109:D1109"/>
    <mergeCell ref="E1120:I1120"/>
    <mergeCell ref="E1121:I1121"/>
    <mergeCell ref="E1122:I1122"/>
    <mergeCell ref="E1173:I1173"/>
    <mergeCell ref="E1124:I1124"/>
    <mergeCell ref="E1125:I1125"/>
    <mergeCell ref="E1126:I1126"/>
    <mergeCell ref="E1127:I1127"/>
    <mergeCell ref="E1128:I1128"/>
    <mergeCell ref="E1129:I1129"/>
    <mergeCell ref="E1130:I1130"/>
    <mergeCell ref="E1131:I1131"/>
    <mergeCell ref="E1133:I1133"/>
    <mergeCell ref="E1134:I1134"/>
    <mergeCell ref="E1135:I1135"/>
    <mergeCell ref="E1108:I1108"/>
    <mergeCell ref="E1109:I1109"/>
    <mergeCell ref="C1279:D1279"/>
    <mergeCell ref="C1280:D1280"/>
    <mergeCell ref="C1281:D1281"/>
    <mergeCell ref="C1282:D1282"/>
    <mergeCell ref="C1283:D1283"/>
    <mergeCell ref="E1048:I1048"/>
    <mergeCell ref="E1049:I1049"/>
    <mergeCell ref="E1050:I1050"/>
    <mergeCell ref="E1051:I1051"/>
    <mergeCell ref="E1052:I1052"/>
    <mergeCell ref="E1053:I1053"/>
    <mergeCell ref="E1054:I1054"/>
    <mergeCell ref="E1055:I1055"/>
    <mergeCell ref="E1056:I1056"/>
    <mergeCell ref="E1057:I1057"/>
    <mergeCell ref="E1058:I1058"/>
    <mergeCell ref="E1059:I1059"/>
    <mergeCell ref="E1060:I1060"/>
    <mergeCell ref="E1061:I1061"/>
    <mergeCell ref="E1062:I1062"/>
    <mergeCell ref="E1063:I1063"/>
    <mergeCell ref="E1064:I1064"/>
    <mergeCell ref="E1065:I1065"/>
    <mergeCell ref="E1067:I1067"/>
    <mergeCell ref="C1134:D1134"/>
    <mergeCell ref="C1135:D1135"/>
    <mergeCell ref="C1136:D1136"/>
    <mergeCell ref="C1137:D1137"/>
    <mergeCell ref="E1068:I1068"/>
    <mergeCell ref="E1069:I1069"/>
    <mergeCell ref="E1070:I1070"/>
    <mergeCell ref="C1271:D1271"/>
    <mergeCell ref="J1271:X1271"/>
    <mergeCell ref="J1272:X1272"/>
    <mergeCell ref="J1273:X1273"/>
    <mergeCell ref="J1274:X1274"/>
    <mergeCell ref="J1275:X1275"/>
    <mergeCell ref="J1243:X1243"/>
    <mergeCell ref="J1244:X1244"/>
    <mergeCell ref="J1245:X1245"/>
    <mergeCell ref="J1246:X1246"/>
    <mergeCell ref="J1192:X1192"/>
    <mergeCell ref="J1193:X1193"/>
    <mergeCell ref="J1194:X1194"/>
    <mergeCell ref="J1195:X1195"/>
    <mergeCell ref="J1196:X1196"/>
    <mergeCell ref="J1197:X1197"/>
    <mergeCell ref="J1198:X1198"/>
    <mergeCell ref="J1199:X1199"/>
    <mergeCell ref="J1200:X1200"/>
    <mergeCell ref="J1201:X1201"/>
    <mergeCell ref="J1202:X1202"/>
    <mergeCell ref="C1253:AS1253"/>
    <mergeCell ref="C1255:AS1255"/>
    <mergeCell ref="E1215:I1215"/>
    <mergeCell ref="E1216:I1216"/>
    <mergeCell ref="E1217:I1217"/>
    <mergeCell ref="E1218:I1218"/>
    <mergeCell ref="E1219:I1219"/>
    <mergeCell ref="E1220:I1220"/>
    <mergeCell ref="E1221:I1221"/>
    <mergeCell ref="E1222:I1222"/>
    <mergeCell ref="E1223:I1223"/>
    <mergeCell ref="J1270:X1270"/>
    <mergeCell ref="J1238:X1238"/>
    <mergeCell ref="J1239:X1239"/>
    <mergeCell ref="J1240:X1240"/>
    <mergeCell ref="J1241:X1241"/>
    <mergeCell ref="J1242:X1242"/>
    <mergeCell ref="E1071:I1071"/>
    <mergeCell ref="C1116:D1116"/>
    <mergeCell ref="C1117:D1117"/>
    <mergeCell ref="C1118:D1118"/>
    <mergeCell ref="C1119:D1119"/>
    <mergeCell ref="C1120:D1120"/>
    <mergeCell ref="C1121:D1121"/>
    <mergeCell ref="C1122:D1122"/>
    <mergeCell ref="C1130:D1130"/>
    <mergeCell ref="C1131:D1131"/>
    <mergeCell ref="C1133:D1133"/>
    <mergeCell ref="E1123:I1123"/>
    <mergeCell ref="E1073:I1073"/>
    <mergeCell ref="E1074:I1074"/>
    <mergeCell ref="E1075:I1075"/>
    <mergeCell ref="E1076:I1076"/>
    <mergeCell ref="E1077:I1077"/>
    <mergeCell ref="E1078:I1078"/>
    <mergeCell ref="E1079:I1079"/>
    <mergeCell ref="E1080:I1080"/>
    <mergeCell ref="E1083:I1083"/>
    <mergeCell ref="E1085:I1085"/>
    <mergeCell ref="E1086:I1086"/>
    <mergeCell ref="E1101:I1101"/>
    <mergeCell ref="E1102:I1102"/>
    <mergeCell ref="J1153:X1153"/>
    <mergeCell ref="E1072:I1072"/>
    <mergeCell ref="E1107:I1107"/>
    <mergeCell ref="C1272:D1272"/>
    <mergeCell ref="J1283:X1283"/>
    <mergeCell ref="C1067:D1067"/>
    <mergeCell ref="C1083:D1083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J1230:X1230"/>
    <mergeCell ref="J1231:X1231"/>
    <mergeCell ref="J1232:X1232"/>
    <mergeCell ref="J1233:X1233"/>
    <mergeCell ref="J1234:X1234"/>
    <mergeCell ref="J1235:X1235"/>
    <mergeCell ref="J1136:X1136"/>
    <mergeCell ref="J1137:X1137"/>
    <mergeCell ref="J1138:X1138"/>
    <mergeCell ref="J1107:X1107"/>
    <mergeCell ref="J1108:X1108"/>
    <mergeCell ref="J1109:X1109"/>
    <mergeCell ref="C1115:D1115"/>
    <mergeCell ref="J1203:X1203"/>
    <mergeCell ref="J1204:X1204"/>
    <mergeCell ref="J1205:X1205"/>
    <mergeCell ref="J1206:X1206"/>
    <mergeCell ref="J1207:X1207"/>
    <mergeCell ref="J1208:X1208"/>
    <mergeCell ref="J1175:X1175"/>
    <mergeCell ref="J1176:X1176"/>
    <mergeCell ref="J1177:X1177"/>
    <mergeCell ref="J1178:X1178"/>
    <mergeCell ref="J1179:X1179"/>
    <mergeCell ref="J1180:X1180"/>
    <mergeCell ref="J1181:X1181"/>
    <mergeCell ref="J1182:X1182"/>
    <mergeCell ref="J1183:X1183"/>
    <mergeCell ref="J1184:X1184"/>
    <mergeCell ref="J1185:X1185"/>
    <mergeCell ref="J1186:X1186"/>
    <mergeCell ref="J1187:X1187"/>
    <mergeCell ref="J1188:X1188"/>
    <mergeCell ref="J1189:X1189"/>
    <mergeCell ref="J1190:X1190"/>
    <mergeCell ref="J1191:X1191"/>
    <mergeCell ref="J1152:X1152"/>
    <mergeCell ref="J1159:X1159"/>
    <mergeCell ref="J1160:X1160"/>
    <mergeCell ref="J1161:X1161"/>
    <mergeCell ref="J1162:X1162"/>
    <mergeCell ref="J1163:X1163"/>
    <mergeCell ref="J1164:X1164"/>
    <mergeCell ref="E1136:I1136"/>
    <mergeCell ref="J1064:X1064"/>
    <mergeCell ref="J1065:X1065"/>
    <mergeCell ref="J1067:X1067"/>
    <mergeCell ref="J1068:X1068"/>
    <mergeCell ref="J1069:X1069"/>
    <mergeCell ref="J1070:X1070"/>
    <mergeCell ref="J1071:X1071"/>
    <mergeCell ref="J1072:X1072"/>
    <mergeCell ref="J1073:X1073"/>
    <mergeCell ref="J1074:X1074"/>
    <mergeCell ref="J1075:X1075"/>
    <mergeCell ref="J1076:X1076"/>
    <mergeCell ref="J1077:X1077"/>
    <mergeCell ref="J1078:X1078"/>
    <mergeCell ref="J1079:X1079"/>
    <mergeCell ref="J1080:X1080"/>
    <mergeCell ref="J1237:X1237"/>
    <mergeCell ref="J1236:X1236"/>
    <mergeCell ref="J1112:X1112"/>
    <mergeCell ref="J1050:X1050"/>
    <mergeCell ref="J1051:X1051"/>
    <mergeCell ref="J1052:X1052"/>
    <mergeCell ref="J1053:X1053"/>
    <mergeCell ref="J1054:X1054"/>
    <mergeCell ref="J1055:X1055"/>
    <mergeCell ref="J1056:X1056"/>
    <mergeCell ref="J1057:X1057"/>
    <mergeCell ref="J1058:X1058"/>
    <mergeCell ref="J1059:X1059"/>
    <mergeCell ref="J1060:X1060"/>
    <mergeCell ref="J1061:X1061"/>
    <mergeCell ref="J1062:X1062"/>
    <mergeCell ref="J1063:X1063"/>
    <mergeCell ref="AN1283:AS1283"/>
    <mergeCell ref="J1083:X1083"/>
    <mergeCell ref="J1085:X1085"/>
    <mergeCell ref="J1086:X1086"/>
    <mergeCell ref="J1087:X1087"/>
    <mergeCell ref="J1088:X1088"/>
    <mergeCell ref="J1089:X1089"/>
    <mergeCell ref="J1090:X1090"/>
    <mergeCell ref="J1091:X1091"/>
    <mergeCell ref="J1092:X1092"/>
    <mergeCell ref="AN1265:AS1265"/>
    <mergeCell ref="AN1266:AS1266"/>
    <mergeCell ref="AN1267:AS1267"/>
    <mergeCell ref="AN1268:AS1268"/>
    <mergeCell ref="AN1269:AS1269"/>
    <mergeCell ref="AN1270:AS1270"/>
    <mergeCell ref="J1096:X1096"/>
    <mergeCell ref="J1097:X1097"/>
    <mergeCell ref="AN1279:AS1279"/>
    <mergeCell ref="AN1280:AS1280"/>
    <mergeCell ref="AN1281:AS1281"/>
    <mergeCell ref="AN1282:AS1282"/>
    <mergeCell ref="AN1248:AS1248"/>
    <mergeCell ref="AN1249:AS1249"/>
    <mergeCell ref="AN1250:AS1250"/>
    <mergeCell ref="AN1251:AS1251"/>
    <mergeCell ref="AN1252:AS1252"/>
    <mergeCell ref="AN1254:AS1254"/>
    <mergeCell ref="AN1256:AS1256"/>
    <mergeCell ref="AN1257:AS1257"/>
    <mergeCell ref="AN1258:AS1258"/>
    <mergeCell ref="AN1259:AS1259"/>
    <mergeCell ref="AH1257:AJ1257"/>
    <mergeCell ref="AN1260:AS1260"/>
    <mergeCell ref="AN1261:AS1261"/>
    <mergeCell ref="AN1262:AS1262"/>
    <mergeCell ref="AN1263:AS1263"/>
    <mergeCell ref="AN1264:AS1264"/>
    <mergeCell ref="AN1275:AS1275"/>
    <mergeCell ref="AH1275:AJ1275"/>
    <mergeCell ref="AH1279:AJ1279"/>
    <mergeCell ref="AH1280:AJ1280"/>
    <mergeCell ref="AH1281:AJ1281"/>
    <mergeCell ref="AH1282:AJ1282"/>
    <mergeCell ref="AN1236:AS1236"/>
    <mergeCell ref="AN1237:AS1237"/>
    <mergeCell ref="AN1238:AS1238"/>
    <mergeCell ref="AN1239:AS1239"/>
    <mergeCell ref="AN1240:AS1240"/>
    <mergeCell ref="AN1241:AS1241"/>
    <mergeCell ref="AN1242:AS1242"/>
    <mergeCell ref="AN1243:AS1243"/>
    <mergeCell ref="AN1244:AS1244"/>
    <mergeCell ref="AN1245:AS1245"/>
    <mergeCell ref="AN1246:AS1246"/>
    <mergeCell ref="AN1247:AS1247"/>
    <mergeCell ref="AK1236:AM1236"/>
    <mergeCell ref="AN1271:AS1271"/>
    <mergeCell ref="AN1272:AS1272"/>
    <mergeCell ref="AN1273:AS1273"/>
    <mergeCell ref="AN1274:AS1274"/>
    <mergeCell ref="AH1283:AJ1283"/>
    <mergeCell ref="AN1213:AS1213"/>
    <mergeCell ref="AN1214:AS1214"/>
    <mergeCell ref="AN1215:AS1215"/>
    <mergeCell ref="AN1216:AS1216"/>
    <mergeCell ref="AN1217:AS1217"/>
    <mergeCell ref="AN1218:AS1218"/>
    <mergeCell ref="AN1219:AS1219"/>
    <mergeCell ref="AN1220:AS1220"/>
    <mergeCell ref="AN1221:AS1221"/>
    <mergeCell ref="AN1222:AS1222"/>
    <mergeCell ref="AN1223:AS1223"/>
    <mergeCell ref="AN1224:AS1224"/>
    <mergeCell ref="AN1225:AS1225"/>
    <mergeCell ref="AN1226:AS1226"/>
    <mergeCell ref="AN1227:AS1227"/>
    <mergeCell ref="AN1228:AS1228"/>
    <mergeCell ref="AN1229:AS1229"/>
    <mergeCell ref="AN1230:AS1230"/>
    <mergeCell ref="AH1254:AJ1254"/>
    <mergeCell ref="AH1256:AJ1256"/>
    <mergeCell ref="AK1266:AM1266"/>
    <mergeCell ref="AK1267:AM1267"/>
    <mergeCell ref="AK1235:AM1235"/>
    <mergeCell ref="AH1247:AJ1247"/>
    <mergeCell ref="AH1248:AJ1248"/>
    <mergeCell ref="AH1249:AJ1249"/>
    <mergeCell ref="AH1250:AJ1250"/>
    <mergeCell ref="AH1251:AJ1251"/>
    <mergeCell ref="AH1252:AJ1252"/>
    <mergeCell ref="AH1238:AJ1238"/>
    <mergeCell ref="AH1239:AJ1239"/>
    <mergeCell ref="AE1283:AG1283"/>
    <mergeCell ref="AN1231:AS1231"/>
    <mergeCell ref="AN1232:AS1232"/>
    <mergeCell ref="AN1233:AS1233"/>
    <mergeCell ref="AN1234:AS1234"/>
    <mergeCell ref="AN1235:AS1235"/>
    <mergeCell ref="AH1258:AJ1258"/>
    <mergeCell ref="AH1259:AJ1259"/>
    <mergeCell ref="AH1260:AJ1260"/>
    <mergeCell ref="AH1261:AJ1261"/>
    <mergeCell ref="AH1262:AJ1262"/>
    <mergeCell ref="AH1263:AJ1263"/>
    <mergeCell ref="AH1264:AJ1264"/>
    <mergeCell ref="AH1265:AJ1265"/>
    <mergeCell ref="AH1266:AJ1266"/>
    <mergeCell ref="AH1267:AJ1267"/>
    <mergeCell ref="AH1268:AJ1268"/>
    <mergeCell ref="AH1269:AJ1269"/>
    <mergeCell ref="AK1237:AM1237"/>
    <mergeCell ref="AK1238:AM1238"/>
    <mergeCell ref="AK1239:AM1239"/>
    <mergeCell ref="AK1240:AM1240"/>
    <mergeCell ref="AK1241:AM1241"/>
    <mergeCell ref="AK1242:AM1242"/>
    <mergeCell ref="AK1243:AM1243"/>
    <mergeCell ref="AK1244:AM1244"/>
    <mergeCell ref="AK1245:AM1245"/>
    <mergeCell ref="AK1246:AM1246"/>
    <mergeCell ref="AK1247:AM1247"/>
    <mergeCell ref="AK1248:AM1248"/>
    <mergeCell ref="AK1268:AM1268"/>
    <mergeCell ref="AK1269:AM1269"/>
    <mergeCell ref="AB1271:AD1271"/>
    <mergeCell ref="AB1272:AD1272"/>
    <mergeCell ref="AB1273:AD1273"/>
    <mergeCell ref="AB1274:AD1274"/>
    <mergeCell ref="AH1270:AJ1270"/>
    <mergeCell ref="AH1271:AJ1271"/>
    <mergeCell ref="AH1272:AJ1272"/>
    <mergeCell ref="AH1273:AJ1273"/>
    <mergeCell ref="AH1274:AJ1274"/>
    <mergeCell ref="AB1283:AD1283"/>
    <mergeCell ref="AE1254:AG1254"/>
    <mergeCell ref="AB1254:AD1254"/>
    <mergeCell ref="AB1256:AD1256"/>
    <mergeCell ref="AB1257:AD1257"/>
    <mergeCell ref="AB1258:AD1258"/>
    <mergeCell ref="AB1259:AD1259"/>
    <mergeCell ref="AB1260:AD1260"/>
    <mergeCell ref="AB1261:AD1261"/>
    <mergeCell ref="AB1262:AD1262"/>
    <mergeCell ref="AB1263:AD1263"/>
    <mergeCell ref="AB1264:AD1264"/>
    <mergeCell ref="AB1265:AD1265"/>
    <mergeCell ref="AB1266:AD1266"/>
    <mergeCell ref="AB1267:AD1267"/>
    <mergeCell ref="AB1268:AD1268"/>
    <mergeCell ref="AB1269:AD1269"/>
    <mergeCell ref="AE1273:AG1273"/>
    <mergeCell ref="AE1274:AG1274"/>
    <mergeCell ref="AE1275:AG1275"/>
    <mergeCell ref="AE1256:AG1256"/>
    <mergeCell ref="AE1258:AG1258"/>
    <mergeCell ref="AE1259:AG1259"/>
    <mergeCell ref="AE1260:AG1260"/>
    <mergeCell ref="AE1261:AG1261"/>
    <mergeCell ref="AE1262:AG1262"/>
    <mergeCell ref="AK1271:AM1271"/>
    <mergeCell ref="AK1272:AM1272"/>
    <mergeCell ref="AK1273:AM1273"/>
    <mergeCell ref="AK1274:AM1274"/>
    <mergeCell ref="AK1275:AM1275"/>
    <mergeCell ref="AK1279:AM1279"/>
    <mergeCell ref="AH1244:AJ1244"/>
    <mergeCell ref="AK1280:AM1280"/>
    <mergeCell ref="AK1281:AM1281"/>
    <mergeCell ref="AK1282:AM1282"/>
    <mergeCell ref="AK1283:AM1283"/>
    <mergeCell ref="AK1249:AM1249"/>
    <mergeCell ref="AK1250:AM1250"/>
    <mergeCell ref="AK1251:AM1251"/>
    <mergeCell ref="AK1252:AM1252"/>
    <mergeCell ref="AK1254:AM1254"/>
    <mergeCell ref="AK1256:AM1256"/>
    <mergeCell ref="AK1257:AM1257"/>
    <mergeCell ref="AK1258:AM1258"/>
    <mergeCell ref="AK1259:AM1259"/>
    <mergeCell ref="AK1260:AM1260"/>
    <mergeCell ref="AK1261:AM1261"/>
    <mergeCell ref="AK1262:AM1262"/>
    <mergeCell ref="AK1263:AM1263"/>
    <mergeCell ref="AK1264:AM1264"/>
    <mergeCell ref="AK1265:AM1265"/>
    <mergeCell ref="AK1270:AM1270"/>
    <mergeCell ref="AH1245:AJ1245"/>
    <mergeCell ref="AH1246:AJ1246"/>
    <mergeCell ref="AB1270:AD1270"/>
    <mergeCell ref="AK1213:AM1213"/>
    <mergeCell ref="AK1214:AM1214"/>
    <mergeCell ref="AK1215:AM1215"/>
    <mergeCell ref="AK1216:AM1216"/>
    <mergeCell ref="AK1217:AM1217"/>
    <mergeCell ref="AK1218:AM1218"/>
    <mergeCell ref="AK1219:AM1219"/>
    <mergeCell ref="AK1220:AM1220"/>
    <mergeCell ref="AK1221:AM1221"/>
    <mergeCell ref="AK1222:AM1222"/>
    <mergeCell ref="AK1223:AM1223"/>
    <mergeCell ref="AK1224:AM1224"/>
    <mergeCell ref="AK1225:AM1225"/>
    <mergeCell ref="AK1226:AM1226"/>
    <mergeCell ref="AK1227:AM1227"/>
    <mergeCell ref="AK1228:AM1228"/>
    <mergeCell ref="AK1229:AM1229"/>
    <mergeCell ref="AK1230:AM1230"/>
    <mergeCell ref="AK1231:AM1231"/>
    <mergeCell ref="AK1232:AM1232"/>
    <mergeCell ref="AK1233:AM1233"/>
    <mergeCell ref="AK1234:AM1234"/>
    <mergeCell ref="AH1229:AJ1229"/>
    <mergeCell ref="AH1230:AJ1230"/>
    <mergeCell ref="AH1231:AJ1231"/>
    <mergeCell ref="AH1232:AJ1232"/>
    <mergeCell ref="AH1233:AJ1233"/>
    <mergeCell ref="AH1234:AJ1234"/>
    <mergeCell ref="AH1235:AJ1235"/>
    <mergeCell ref="AH1236:AJ1236"/>
    <mergeCell ref="AH1237:AJ1237"/>
    <mergeCell ref="AH1240:AJ1240"/>
    <mergeCell ref="AB1229:AD1229"/>
    <mergeCell ref="AB1230:AD1230"/>
    <mergeCell ref="AH1241:AJ1241"/>
    <mergeCell ref="AH1242:AJ1242"/>
    <mergeCell ref="AH1243:AJ1243"/>
    <mergeCell ref="AB1231:AD1231"/>
    <mergeCell ref="AB1232:AD1232"/>
    <mergeCell ref="AB1233:AD1233"/>
    <mergeCell ref="AB1234:AD1234"/>
    <mergeCell ref="AB1235:AD1235"/>
    <mergeCell ref="AB1236:AD1236"/>
    <mergeCell ref="AB1237:AD1237"/>
    <mergeCell ref="AB1238:AD1238"/>
    <mergeCell ref="AB1239:AD1239"/>
    <mergeCell ref="AB1240:AD1240"/>
    <mergeCell ref="AB1241:AD1241"/>
    <mergeCell ref="AB1242:AD1242"/>
    <mergeCell ref="AB1243:AD1243"/>
    <mergeCell ref="AE1242:AG1242"/>
    <mergeCell ref="AB1213:AD1213"/>
    <mergeCell ref="AB1214:AD1214"/>
    <mergeCell ref="AB1215:AD1215"/>
    <mergeCell ref="AB1216:AD1216"/>
    <mergeCell ref="AB1217:AD1217"/>
    <mergeCell ref="AB1218:AD1218"/>
    <mergeCell ref="AB1219:AD1219"/>
    <mergeCell ref="AB1220:AD1220"/>
    <mergeCell ref="AB1221:AD1221"/>
    <mergeCell ref="AB1222:AD1222"/>
    <mergeCell ref="AB1223:AD1223"/>
    <mergeCell ref="AB1224:AD1224"/>
    <mergeCell ref="AB1225:AD1225"/>
    <mergeCell ref="AB1226:AD1226"/>
    <mergeCell ref="AB1227:AD1227"/>
    <mergeCell ref="AB1228:AD1228"/>
    <mergeCell ref="AH1213:AJ1213"/>
    <mergeCell ref="AH1214:AJ1214"/>
    <mergeCell ref="AH1215:AJ1215"/>
    <mergeCell ref="AH1216:AJ1216"/>
    <mergeCell ref="AH1217:AJ1217"/>
    <mergeCell ref="AH1218:AJ1218"/>
    <mergeCell ref="AH1219:AJ1219"/>
    <mergeCell ref="AH1220:AJ1220"/>
    <mergeCell ref="AH1221:AJ1221"/>
    <mergeCell ref="AH1222:AJ1222"/>
    <mergeCell ref="AH1223:AJ1223"/>
    <mergeCell ref="AH1224:AJ1224"/>
    <mergeCell ref="AH1225:AJ1225"/>
    <mergeCell ref="AH1226:AJ1226"/>
    <mergeCell ref="AH1227:AJ1227"/>
    <mergeCell ref="AH1228:AJ1228"/>
    <mergeCell ref="Y1234:AA1234"/>
    <mergeCell ref="Y1235:AA1235"/>
    <mergeCell ref="Y1236:AA1236"/>
    <mergeCell ref="Y1237:AA1237"/>
    <mergeCell ref="Y1238:AA1238"/>
    <mergeCell ref="Y1239:AA1239"/>
    <mergeCell ref="Y1240:AA1240"/>
    <mergeCell ref="Y1241:AA1241"/>
    <mergeCell ref="Y1242:AA1242"/>
    <mergeCell ref="Y1243:AA1243"/>
    <mergeCell ref="Y1244:AA1244"/>
    <mergeCell ref="Y1262:AA1262"/>
    <mergeCell ref="Y1263:AA1263"/>
    <mergeCell ref="Y1264:AA1264"/>
    <mergeCell ref="Y1265:AA1265"/>
    <mergeCell ref="Y1266:AA1266"/>
    <mergeCell ref="Y1267:AA1267"/>
    <mergeCell ref="Y1245:AA1245"/>
    <mergeCell ref="Y1246:AA1246"/>
    <mergeCell ref="Y1247:AA1247"/>
    <mergeCell ref="Y1248:AA1248"/>
    <mergeCell ref="Y1249:AA1249"/>
    <mergeCell ref="Y1250:AA1250"/>
    <mergeCell ref="Y1251:AA1251"/>
    <mergeCell ref="Y1252:AA1252"/>
    <mergeCell ref="Y1254:AA1254"/>
    <mergeCell ref="Y1256:AA1256"/>
    <mergeCell ref="Y1257:AA1257"/>
    <mergeCell ref="Y1258:AA1258"/>
    <mergeCell ref="Y1259:AA1259"/>
    <mergeCell ref="Y1260:AA1260"/>
    <mergeCell ref="Y1261:AA1261"/>
    <mergeCell ref="J1219:X1219"/>
    <mergeCell ref="J1220:X1220"/>
    <mergeCell ref="J1221:X1221"/>
    <mergeCell ref="J1222:X1222"/>
    <mergeCell ref="J1223:X1223"/>
    <mergeCell ref="J1224:X1224"/>
    <mergeCell ref="J1225:X1225"/>
    <mergeCell ref="J1226:X1226"/>
    <mergeCell ref="J1227:X1227"/>
    <mergeCell ref="J1228:X1228"/>
    <mergeCell ref="J1229:X1229"/>
    <mergeCell ref="Y1228:AA1228"/>
    <mergeCell ref="Y1229:AA1229"/>
    <mergeCell ref="Y1230:AA1230"/>
    <mergeCell ref="Y1231:AA1231"/>
    <mergeCell ref="Y1232:AA1232"/>
    <mergeCell ref="Y1233:AA1233"/>
    <mergeCell ref="E1232:I1232"/>
    <mergeCell ref="E1233:I1233"/>
    <mergeCell ref="E1234:I1234"/>
    <mergeCell ref="E1235:I1235"/>
    <mergeCell ref="E1236:I1236"/>
    <mergeCell ref="E1237:I1237"/>
    <mergeCell ref="E1238:I1238"/>
    <mergeCell ref="E1239:I1239"/>
    <mergeCell ref="E1240:I1240"/>
    <mergeCell ref="E1241:I1241"/>
    <mergeCell ref="E1242:I1242"/>
    <mergeCell ref="E1243:I1243"/>
    <mergeCell ref="E1244:I1244"/>
    <mergeCell ref="Y1213:AA1213"/>
    <mergeCell ref="Y1214:AA1214"/>
    <mergeCell ref="Y1215:AA1215"/>
    <mergeCell ref="Y1216:AA1216"/>
    <mergeCell ref="Y1217:AA1217"/>
    <mergeCell ref="Y1218:AA1218"/>
    <mergeCell ref="Y1219:AA1219"/>
    <mergeCell ref="Y1220:AA1220"/>
    <mergeCell ref="Y1221:AA1221"/>
    <mergeCell ref="Y1222:AA1222"/>
    <mergeCell ref="Y1223:AA1223"/>
    <mergeCell ref="Y1224:AA1224"/>
    <mergeCell ref="Y1225:AA1225"/>
    <mergeCell ref="Y1226:AA1226"/>
    <mergeCell ref="Y1227:AA1227"/>
    <mergeCell ref="J1215:X1215"/>
    <mergeCell ref="J1216:X1216"/>
    <mergeCell ref="J1217:X1217"/>
    <mergeCell ref="J1218:X1218"/>
    <mergeCell ref="Y1280:AA1280"/>
    <mergeCell ref="Y1281:AA1281"/>
    <mergeCell ref="Y1282:AA1282"/>
    <mergeCell ref="Y1283:AA1283"/>
    <mergeCell ref="E1282:I1282"/>
    <mergeCell ref="AE1263:AG1263"/>
    <mergeCell ref="AE1264:AG1264"/>
    <mergeCell ref="AE1265:AG1265"/>
    <mergeCell ref="AE1266:AG1266"/>
    <mergeCell ref="AE1267:AG1267"/>
    <mergeCell ref="AE1268:AG1268"/>
    <mergeCell ref="AE1269:AG1269"/>
    <mergeCell ref="AE1270:AG1270"/>
    <mergeCell ref="AE1271:AG1271"/>
    <mergeCell ref="AE1272:AG1272"/>
    <mergeCell ref="J1252:X1252"/>
    <mergeCell ref="J1254:X1254"/>
    <mergeCell ref="J1256:X1256"/>
    <mergeCell ref="J1257:X1257"/>
    <mergeCell ref="J1258:X1258"/>
    <mergeCell ref="J1259:X1259"/>
    <mergeCell ref="J1260:X1260"/>
    <mergeCell ref="J1261:X1261"/>
    <mergeCell ref="J1262:X1262"/>
    <mergeCell ref="J1263:X1263"/>
    <mergeCell ref="J1264:X1264"/>
    <mergeCell ref="Y1268:AA1268"/>
    <mergeCell ref="Y1269:AA1269"/>
    <mergeCell ref="Y1270:AA1270"/>
    <mergeCell ref="Y1271:AA1271"/>
    <mergeCell ref="Y1272:AA1272"/>
    <mergeCell ref="AE1257:AG1257"/>
    <mergeCell ref="C1239:D1239"/>
    <mergeCell ref="C1240:D1240"/>
    <mergeCell ref="C1241:D1241"/>
    <mergeCell ref="E1245:I1245"/>
    <mergeCell ref="E1246:I1246"/>
    <mergeCell ref="E1247:I1247"/>
    <mergeCell ref="E1248:I1248"/>
    <mergeCell ref="E1249:I1249"/>
    <mergeCell ref="E1250:I1250"/>
    <mergeCell ref="E1251:I1251"/>
    <mergeCell ref="E1252:I1252"/>
    <mergeCell ref="E1254:I1254"/>
    <mergeCell ref="AE1279:AG1279"/>
    <mergeCell ref="AE1280:AG1280"/>
    <mergeCell ref="AE1281:AG1281"/>
    <mergeCell ref="AE1282:AG1282"/>
    <mergeCell ref="J1247:X1247"/>
    <mergeCell ref="J1248:X1248"/>
    <mergeCell ref="J1250:X1250"/>
    <mergeCell ref="J1251:X1251"/>
    <mergeCell ref="Y1273:AA1273"/>
    <mergeCell ref="Y1274:AA1274"/>
    <mergeCell ref="Y1275:AA1275"/>
    <mergeCell ref="Y1279:AA1279"/>
    <mergeCell ref="AB1251:AD1251"/>
    <mergeCell ref="AB1252:AD1252"/>
    <mergeCell ref="AB1282:AD1282"/>
    <mergeCell ref="J1282:X1282"/>
    <mergeCell ref="C1273:D1273"/>
    <mergeCell ref="C1274:D1274"/>
    <mergeCell ref="C1275:D1275"/>
    <mergeCell ref="C1259:D1259"/>
    <mergeCell ref="AE1225:AG1225"/>
    <mergeCell ref="AE1226:AG1226"/>
    <mergeCell ref="AE1227:AG1227"/>
    <mergeCell ref="AE1228:AG1228"/>
    <mergeCell ref="AE1229:AG1229"/>
    <mergeCell ref="AE1230:AG1230"/>
    <mergeCell ref="AE1231:AG1231"/>
    <mergeCell ref="AE1232:AG1232"/>
    <mergeCell ref="AE1233:AG1233"/>
    <mergeCell ref="AE1234:AG1234"/>
    <mergeCell ref="AE1235:AG1235"/>
    <mergeCell ref="AE1236:AG1236"/>
    <mergeCell ref="AE1237:AG1237"/>
    <mergeCell ref="AE1238:AG1238"/>
    <mergeCell ref="AE1239:AG1239"/>
    <mergeCell ref="AE1240:AG1240"/>
    <mergeCell ref="AE1241:AG1241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AE1243:AG1243"/>
    <mergeCell ref="AE1244:AG1244"/>
    <mergeCell ref="AE1245:AG1245"/>
    <mergeCell ref="AE1246:AG1246"/>
    <mergeCell ref="AE1247:AG1247"/>
    <mergeCell ref="AE1248:AG1248"/>
    <mergeCell ref="AE1249:AG1249"/>
    <mergeCell ref="AE1250:AG1250"/>
    <mergeCell ref="AB1246:AD1246"/>
    <mergeCell ref="AB1247:AD1247"/>
    <mergeCell ref="AB1248:AD1248"/>
    <mergeCell ref="AB1249:AD1249"/>
    <mergeCell ref="AB1250:AD1250"/>
    <mergeCell ref="J1249:X1249"/>
    <mergeCell ref="J1265:X1265"/>
    <mergeCell ref="J1266:X1266"/>
    <mergeCell ref="J1267:X1267"/>
    <mergeCell ref="AE1251:AG1251"/>
    <mergeCell ref="AE1252:AG1252"/>
    <mergeCell ref="AB1245:AD1245"/>
    <mergeCell ref="AB1244:AD1244"/>
    <mergeCell ref="E1264:I1264"/>
    <mergeCell ref="AK1207:AM1207"/>
    <mergeCell ref="AK1208:AM1208"/>
    <mergeCell ref="AK1209:AM1209"/>
    <mergeCell ref="AK1210:AM1210"/>
    <mergeCell ref="AK1211:AM1211"/>
    <mergeCell ref="AH1207:AJ1207"/>
    <mergeCell ref="AH1208:AJ1208"/>
    <mergeCell ref="AH1209:AJ1209"/>
    <mergeCell ref="AH1210:AJ1210"/>
    <mergeCell ref="AH1211:AJ1211"/>
    <mergeCell ref="J1268:X1268"/>
    <mergeCell ref="J1269:X1269"/>
    <mergeCell ref="E1256:I1256"/>
    <mergeCell ref="E1257:I1257"/>
    <mergeCell ref="E1258:I1258"/>
    <mergeCell ref="E1259:I1259"/>
    <mergeCell ref="E1260:I1260"/>
    <mergeCell ref="E1261:I1261"/>
    <mergeCell ref="E1262:I1262"/>
    <mergeCell ref="E1263:I1263"/>
    <mergeCell ref="AE1213:AG1213"/>
    <mergeCell ref="AE1214:AG1214"/>
    <mergeCell ref="AE1215:AG1215"/>
    <mergeCell ref="AE1216:AG1216"/>
    <mergeCell ref="AE1217:AG1217"/>
    <mergeCell ref="AE1218:AG1218"/>
    <mergeCell ref="AE1219:AG1219"/>
    <mergeCell ref="AE1220:AG1220"/>
    <mergeCell ref="AE1221:AG1221"/>
    <mergeCell ref="AE1222:AG1222"/>
    <mergeCell ref="AE1223:AG1223"/>
    <mergeCell ref="AE1224:AG1224"/>
    <mergeCell ref="AN1185:AS1185"/>
    <mergeCell ref="AN1186:AS1186"/>
    <mergeCell ref="AN1187:AS1187"/>
    <mergeCell ref="AN1188:AS1188"/>
    <mergeCell ref="AN1189:AS1189"/>
    <mergeCell ref="AN1190:AS1190"/>
    <mergeCell ref="AN1191:AS1191"/>
    <mergeCell ref="AN1192:AS1192"/>
    <mergeCell ref="AN1193:AS1193"/>
    <mergeCell ref="AN1194:AS1194"/>
    <mergeCell ref="C1270:D1270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50:D1250"/>
    <mergeCell ref="C1251:D1251"/>
    <mergeCell ref="C1252:D1252"/>
    <mergeCell ref="C1254:D1254"/>
    <mergeCell ref="C1256:D1256"/>
    <mergeCell ref="C1257:D1257"/>
    <mergeCell ref="C1258:D1258"/>
    <mergeCell ref="AN1206:AS1206"/>
    <mergeCell ref="AN1207:AS1207"/>
    <mergeCell ref="AN1208:AS1208"/>
    <mergeCell ref="AN1209:AS1209"/>
    <mergeCell ref="AN1210:AS1210"/>
    <mergeCell ref="AN1211:AS1211"/>
    <mergeCell ref="AK1203:AM1203"/>
    <mergeCell ref="AK1204:AM1204"/>
    <mergeCell ref="AK1205:AM1205"/>
    <mergeCell ref="AK1206:AM1206"/>
    <mergeCell ref="AK1191:AM1191"/>
    <mergeCell ref="AK1192:AM1192"/>
    <mergeCell ref="AK1193:AM1193"/>
    <mergeCell ref="AK1194:AM1194"/>
    <mergeCell ref="AK1195:AM1195"/>
    <mergeCell ref="AK1196:AM1196"/>
    <mergeCell ref="AK1197:AM1197"/>
    <mergeCell ref="AK1198:AM1198"/>
    <mergeCell ref="AK1199:AM1199"/>
    <mergeCell ref="AK1200:AM1200"/>
    <mergeCell ref="AK1201:AM1201"/>
    <mergeCell ref="AK1202:AM1202"/>
    <mergeCell ref="AN1195:AS1195"/>
    <mergeCell ref="AN1196:AS1196"/>
    <mergeCell ref="AN1197:AS1197"/>
    <mergeCell ref="AN1198:AS1198"/>
    <mergeCell ref="AN1199:AS1199"/>
    <mergeCell ref="AN1200:AS1200"/>
    <mergeCell ref="AN1201:AS1201"/>
    <mergeCell ref="AN1202:AS1202"/>
    <mergeCell ref="AN1203:AS1203"/>
    <mergeCell ref="AN1204:AS1204"/>
    <mergeCell ref="AN1205:AS1205"/>
    <mergeCell ref="AK1190:AM1190"/>
    <mergeCell ref="AK1177:AM1177"/>
    <mergeCell ref="AK1178:AM1178"/>
    <mergeCell ref="AK1179:AM1179"/>
    <mergeCell ref="AK1180:AM1180"/>
    <mergeCell ref="AK1181:AM1181"/>
    <mergeCell ref="AK1182:AM1182"/>
    <mergeCell ref="AK1183:AM1183"/>
    <mergeCell ref="AK1184:AM1184"/>
    <mergeCell ref="AK1185:AM1185"/>
    <mergeCell ref="AK1186:AM1186"/>
    <mergeCell ref="AK1187:AM1187"/>
    <mergeCell ref="AK1188:AM1188"/>
    <mergeCell ref="AK1189:AM1189"/>
    <mergeCell ref="AK1121:AM1121"/>
    <mergeCell ref="AK1122:AM1122"/>
    <mergeCell ref="AN1169:AS1169"/>
    <mergeCell ref="AN1170:AS1170"/>
    <mergeCell ref="AN1177:AS1177"/>
    <mergeCell ref="AN1171:AS1171"/>
    <mergeCell ref="AN1172:AS1172"/>
    <mergeCell ref="AN1173:AS1173"/>
    <mergeCell ref="AN1174:AS1174"/>
    <mergeCell ref="AN1175:AS1175"/>
    <mergeCell ref="AN1176:AS1176"/>
    <mergeCell ref="AN1178:AS1178"/>
    <mergeCell ref="AN1179:AS1179"/>
    <mergeCell ref="AN1180:AS1180"/>
    <mergeCell ref="AN1181:AS1181"/>
    <mergeCell ref="AN1182:AS1182"/>
    <mergeCell ref="AN1183:AS1183"/>
    <mergeCell ref="AN1184:AS1184"/>
    <mergeCell ref="AH1170:AJ1170"/>
    <mergeCell ref="AH1171:AJ1171"/>
    <mergeCell ref="AH1172:AJ1172"/>
    <mergeCell ref="AH1173:AJ1173"/>
    <mergeCell ref="AH1174:AJ1174"/>
    <mergeCell ref="AH1175:AJ1175"/>
    <mergeCell ref="AH1176:AJ1176"/>
    <mergeCell ref="AH1177:AJ1177"/>
    <mergeCell ref="AH1178:AJ1178"/>
    <mergeCell ref="AH1179:AJ1179"/>
    <mergeCell ref="AH1180:AJ1180"/>
    <mergeCell ref="AH1181:AJ1181"/>
    <mergeCell ref="AH1182:AJ1182"/>
    <mergeCell ref="AH1127:AJ1127"/>
    <mergeCell ref="AK1127:AM1127"/>
    <mergeCell ref="AN1083:AS1083"/>
    <mergeCell ref="AN1094:AS1094"/>
    <mergeCell ref="AN1102:AS1102"/>
    <mergeCell ref="AN1121:AS1121"/>
    <mergeCell ref="AN1122:AS1122"/>
    <mergeCell ref="AN1123:AS1123"/>
    <mergeCell ref="AN1129:AS1129"/>
    <mergeCell ref="AN1134:AS1134"/>
    <mergeCell ref="AN1139:AS1139"/>
    <mergeCell ref="AN1145:AS1145"/>
    <mergeCell ref="AN1150:AS1150"/>
    <mergeCell ref="AN1155:AS1155"/>
    <mergeCell ref="AN1161:AS1161"/>
    <mergeCell ref="AN1166:AS1166"/>
    <mergeCell ref="AN1167:AS1167"/>
    <mergeCell ref="AN1168:AS1168"/>
    <mergeCell ref="AK1112:AM1112"/>
    <mergeCell ref="AH1204:AJ1204"/>
    <mergeCell ref="AH1205:AJ1205"/>
    <mergeCell ref="AH1206:AJ1206"/>
    <mergeCell ref="AH1183:AJ1183"/>
    <mergeCell ref="AH1184:AJ1184"/>
    <mergeCell ref="AH1185:AJ1185"/>
    <mergeCell ref="AH1186:AJ1186"/>
    <mergeCell ref="AH1187:AJ1187"/>
    <mergeCell ref="AH1188:AJ1188"/>
    <mergeCell ref="AH1189:AJ1189"/>
    <mergeCell ref="AH1190:AJ1190"/>
    <mergeCell ref="AH1191:AJ1191"/>
    <mergeCell ref="AH1192:AJ1192"/>
    <mergeCell ref="AH1193:AJ1193"/>
    <mergeCell ref="AH1194:AJ1194"/>
    <mergeCell ref="AK1123:AM1123"/>
    <mergeCell ref="AK1129:AM1129"/>
    <mergeCell ref="AK1134:AM1134"/>
    <mergeCell ref="AK1139:AM1139"/>
    <mergeCell ref="AK1145:AM1145"/>
    <mergeCell ref="AK1150:AM1150"/>
    <mergeCell ref="AK1167:AM1167"/>
    <mergeCell ref="AK1168:AM1168"/>
    <mergeCell ref="AK1169:AM1169"/>
    <mergeCell ref="AK1170:AM1170"/>
    <mergeCell ref="AK1171:AM1171"/>
    <mergeCell ref="AK1172:AM1172"/>
    <mergeCell ref="AK1173:AM1173"/>
    <mergeCell ref="AK1174:AM1174"/>
    <mergeCell ref="AK1175:AM1175"/>
    <mergeCell ref="AK1176:AM1176"/>
    <mergeCell ref="AH1195:AJ1195"/>
    <mergeCell ref="AH1167:AJ1167"/>
    <mergeCell ref="AH1168:AJ1168"/>
    <mergeCell ref="AH1169:AJ1169"/>
    <mergeCell ref="AB1199:AD1199"/>
    <mergeCell ref="AB1200:AD1200"/>
    <mergeCell ref="AB1201:AD1201"/>
    <mergeCell ref="AB1202:AD1202"/>
    <mergeCell ref="AB1203:AD1203"/>
    <mergeCell ref="AB1204:AD1204"/>
    <mergeCell ref="AB1180:AD1180"/>
    <mergeCell ref="AB1181:AD1181"/>
    <mergeCell ref="AB1182:AD1182"/>
    <mergeCell ref="AB1183:AD1183"/>
    <mergeCell ref="AB1159:AD1159"/>
    <mergeCell ref="AB1160:AD1160"/>
    <mergeCell ref="AB1161:AD1161"/>
    <mergeCell ref="AB1162:AD1162"/>
    <mergeCell ref="AB1163:AD1163"/>
    <mergeCell ref="AB1164:AD1164"/>
    <mergeCell ref="AB1165:AD1165"/>
    <mergeCell ref="AB1166:AD1166"/>
    <mergeCell ref="AB1167:AD1167"/>
    <mergeCell ref="AB1168:AD1168"/>
    <mergeCell ref="AB1169:AD1169"/>
    <mergeCell ref="AH1196:AJ1196"/>
    <mergeCell ref="AH1197:AJ1197"/>
    <mergeCell ref="AH1198:AJ1198"/>
    <mergeCell ref="AH1199:AJ1199"/>
    <mergeCell ref="AH1200:AJ1200"/>
    <mergeCell ref="AH1201:AJ1201"/>
    <mergeCell ref="AH1202:AJ1202"/>
    <mergeCell ref="AH1203:AJ1203"/>
    <mergeCell ref="AB1210:AD1210"/>
    <mergeCell ref="AB1211:AD1211"/>
    <mergeCell ref="AE1121:AG1121"/>
    <mergeCell ref="AE1122:AG1122"/>
    <mergeCell ref="AE1123:AG1123"/>
    <mergeCell ref="AE1124:AG1124"/>
    <mergeCell ref="AB1184:AD1184"/>
    <mergeCell ref="AB1185:AD1185"/>
    <mergeCell ref="AB1186:AD1186"/>
    <mergeCell ref="AB1187:AD1187"/>
    <mergeCell ref="AB1188:AD1188"/>
    <mergeCell ref="AB1189:AD1189"/>
    <mergeCell ref="AB1190:AD1190"/>
    <mergeCell ref="AB1191:AD1191"/>
    <mergeCell ref="AB1192:AD1192"/>
    <mergeCell ref="AB1193:AD1193"/>
    <mergeCell ref="AB1194:AD1194"/>
    <mergeCell ref="AB1195:AD1195"/>
    <mergeCell ref="AB1171:AD1171"/>
    <mergeCell ref="AB1172:AD1172"/>
    <mergeCell ref="AB1173:AD1173"/>
    <mergeCell ref="AB1174:AD1174"/>
    <mergeCell ref="AB1175:AD1175"/>
    <mergeCell ref="AB1176:AD1176"/>
    <mergeCell ref="AB1177:AD1177"/>
    <mergeCell ref="AB1178:AD1178"/>
    <mergeCell ref="AB1179:AD1179"/>
    <mergeCell ref="AB1148:AD1148"/>
    <mergeCell ref="AB1149:AD1149"/>
    <mergeCell ref="AB1150:AD1150"/>
    <mergeCell ref="AB1151:AD1151"/>
    <mergeCell ref="AB1152:AD1152"/>
    <mergeCell ref="AB1153:AD1153"/>
    <mergeCell ref="AB1154:AD1154"/>
    <mergeCell ref="AB1155:AD1155"/>
    <mergeCell ref="AB1156:AD1156"/>
    <mergeCell ref="AB1157:AD1157"/>
    <mergeCell ref="AB1158:AD1158"/>
    <mergeCell ref="Y1204:AA1204"/>
    <mergeCell ref="Y1205:AA1205"/>
    <mergeCell ref="Y1193:AA1193"/>
    <mergeCell ref="Y1194:AA1194"/>
    <mergeCell ref="Y1195:AA1195"/>
    <mergeCell ref="Y1196:AA1196"/>
    <mergeCell ref="Y1197:AA1197"/>
    <mergeCell ref="Y1198:AA1198"/>
    <mergeCell ref="Y1175:AA1175"/>
    <mergeCell ref="Y1176:AA1176"/>
    <mergeCell ref="Y1177:AA1177"/>
    <mergeCell ref="Y1178:AA1178"/>
    <mergeCell ref="Y1179:AA1179"/>
    <mergeCell ref="Y1180:AA1180"/>
    <mergeCell ref="Y1181:AA1181"/>
    <mergeCell ref="Y1182:AA1182"/>
    <mergeCell ref="Y1183:AA1183"/>
    <mergeCell ref="AB1205:AD1205"/>
    <mergeCell ref="Y1161:AA1161"/>
    <mergeCell ref="Y1162:AA1162"/>
    <mergeCell ref="Y1163:AA1163"/>
    <mergeCell ref="Y1164:AA1164"/>
    <mergeCell ref="Y1165:AA1165"/>
    <mergeCell ref="Y1166:AA1166"/>
    <mergeCell ref="Y1167:AA1167"/>
    <mergeCell ref="Y1168:AA1168"/>
    <mergeCell ref="Y1210:AA1210"/>
    <mergeCell ref="Y1211:AA1211"/>
    <mergeCell ref="AB1114:AD1114"/>
    <mergeCell ref="AB1115:AD1115"/>
    <mergeCell ref="AB1116:AD1116"/>
    <mergeCell ref="AB1117:AD1117"/>
    <mergeCell ref="AB1118:AD1118"/>
    <mergeCell ref="AB1119:AD1119"/>
    <mergeCell ref="AB1120:AD1120"/>
    <mergeCell ref="AB1121:AD1121"/>
    <mergeCell ref="AB1122:AD1122"/>
    <mergeCell ref="AB1123:AD1123"/>
    <mergeCell ref="AB1124:AD1124"/>
    <mergeCell ref="AB1125:AD1125"/>
    <mergeCell ref="AB1126:AD1126"/>
    <mergeCell ref="AB1127:AD1127"/>
    <mergeCell ref="AB1128:AD1128"/>
    <mergeCell ref="AB1129:AD1129"/>
    <mergeCell ref="AB1130:AD1130"/>
    <mergeCell ref="AB1131:AD1131"/>
    <mergeCell ref="AB1133:AD1133"/>
    <mergeCell ref="AB1134:AD1134"/>
    <mergeCell ref="Y1187:AA1187"/>
    <mergeCell ref="Y1188:AA1188"/>
    <mergeCell ref="Y1189:AA1189"/>
    <mergeCell ref="Y1190:AA1190"/>
    <mergeCell ref="Y1191:AA1191"/>
    <mergeCell ref="Y1192:AA1192"/>
    <mergeCell ref="AB1170:AD1170"/>
    <mergeCell ref="AB1145:AD1145"/>
    <mergeCell ref="AB1146:AD1146"/>
    <mergeCell ref="AB1147:AD1147"/>
    <mergeCell ref="Y1169:AA1169"/>
    <mergeCell ref="Y1170:AA1170"/>
    <mergeCell ref="Y1145:AA1145"/>
    <mergeCell ref="Y1146:AA1146"/>
    <mergeCell ref="Y1147:AA1147"/>
    <mergeCell ref="Y1148:AA1148"/>
    <mergeCell ref="Y1149:AA1149"/>
    <mergeCell ref="Y1150:AA1150"/>
    <mergeCell ref="Y1151:AA1151"/>
    <mergeCell ref="Y1152:AA1152"/>
    <mergeCell ref="Y1153:AA1153"/>
    <mergeCell ref="Y1154:AA1154"/>
    <mergeCell ref="Y1155:AA1155"/>
    <mergeCell ref="Y1156:AA1156"/>
    <mergeCell ref="Y1157:AA1157"/>
    <mergeCell ref="Y1158:AA1158"/>
    <mergeCell ref="Y1136:AA1136"/>
    <mergeCell ref="Y1137:AA1137"/>
    <mergeCell ref="Y1138:AA1138"/>
    <mergeCell ref="J1165:X1165"/>
    <mergeCell ref="J1166:X1166"/>
    <mergeCell ref="J1167:X1167"/>
    <mergeCell ref="J1168:X1168"/>
    <mergeCell ref="Y1114:AA1114"/>
    <mergeCell ref="Y1115:AA1115"/>
    <mergeCell ref="Y1116:AA1116"/>
    <mergeCell ref="Y1117:AA1117"/>
    <mergeCell ref="Y1118:AA1118"/>
    <mergeCell ref="Y1119:AA1119"/>
    <mergeCell ref="Y1120:AA1120"/>
    <mergeCell ref="Y1121:AA1121"/>
    <mergeCell ref="Y1122:AA1122"/>
    <mergeCell ref="Y1123:AA1123"/>
    <mergeCell ref="Y1124:AA1124"/>
    <mergeCell ref="Y1125:AA1125"/>
    <mergeCell ref="Y1126:AA1126"/>
    <mergeCell ref="Y1127:AA1127"/>
    <mergeCell ref="Y1128:AA1128"/>
    <mergeCell ref="Y1129:AA1129"/>
    <mergeCell ref="Y1130:AA1130"/>
    <mergeCell ref="Y1159:AA1159"/>
    <mergeCell ref="Y1160:AA1160"/>
    <mergeCell ref="J1125:X1125"/>
    <mergeCell ref="J1126:X1126"/>
    <mergeCell ref="J1127:X1127"/>
    <mergeCell ref="J1114:X1114"/>
    <mergeCell ref="J1124:X1124"/>
    <mergeCell ref="E1139:I1139"/>
    <mergeCell ref="E1140:I1140"/>
    <mergeCell ref="E1141:I1141"/>
    <mergeCell ref="J1169:X1169"/>
    <mergeCell ref="J1170:X1170"/>
    <mergeCell ref="J1171:X1171"/>
    <mergeCell ref="J1172:X1172"/>
    <mergeCell ref="J1173:X1173"/>
    <mergeCell ref="J1157:X1157"/>
    <mergeCell ref="J1158:X1158"/>
    <mergeCell ref="E1145:I1145"/>
    <mergeCell ref="E1146:I1146"/>
    <mergeCell ref="E1147:I1147"/>
    <mergeCell ref="E1148:I1148"/>
    <mergeCell ref="E1149:I1149"/>
    <mergeCell ref="E1150:I1150"/>
    <mergeCell ref="E1151:I1151"/>
    <mergeCell ref="E1152:I1152"/>
    <mergeCell ref="E1153:I1153"/>
    <mergeCell ref="E1154:I1154"/>
    <mergeCell ref="E1155:I1155"/>
    <mergeCell ref="E1156:I1156"/>
    <mergeCell ref="J1139:X1139"/>
    <mergeCell ref="J1140:X1140"/>
    <mergeCell ref="J1141:X1141"/>
    <mergeCell ref="J1145:X1145"/>
    <mergeCell ref="J1146:X1146"/>
    <mergeCell ref="J1147:X1147"/>
    <mergeCell ref="J1148:X1148"/>
    <mergeCell ref="J1149:X1149"/>
    <mergeCell ref="J1150:X1150"/>
    <mergeCell ref="J1151:X1151"/>
    <mergeCell ref="AE1210:AG1210"/>
    <mergeCell ref="AE1211:AG1211"/>
    <mergeCell ref="AE1179:AG1179"/>
    <mergeCell ref="AE1180:AG1180"/>
    <mergeCell ref="AE1181:AG1181"/>
    <mergeCell ref="AE1182:AG1182"/>
    <mergeCell ref="AE1183:AG1183"/>
    <mergeCell ref="AE1184:AG1184"/>
    <mergeCell ref="AE1185:AG1185"/>
    <mergeCell ref="AE1186:AG1186"/>
    <mergeCell ref="AE1187:AG1187"/>
    <mergeCell ref="AE1188:AG1188"/>
    <mergeCell ref="AE1189:AG1189"/>
    <mergeCell ref="AE1190:AG1190"/>
    <mergeCell ref="AE1203:AG1203"/>
    <mergeCell ref="E1174:I1174"/>
    <mergeCell ref="E1175:I1175"/>
    <mergeCell ref="E1176:I1176"/>
    <mergeCell ref="E1177:I1177"/>
    <mergeCell ref="E1178:I1178"/>
    <mergeCell ref="E1179:I1179"/>
    <mergeCell ref="E1180:I1180"/>
    <mergeCell ref="E1181:I1181"/>
    <mergeCell ref="E1182:I1182"/>
    <mergeCell ref="E1183:I1183"/>
    <mergeCell ref="E1184:I1184"/>
    <mergeCell ref="E1185:I1185"/>
    <mergeCell ref="E1186:I1186"/>
    <mergeCell ref="E1187:I1187"/>
    <mergeCell ref="E1188:I1188"/>
    <mergeCell ref="Y1184:AA1184"/>
    <mergeCell ref="Y1185:AA1185"/>
    <mergeCell ref="AE1145:AG1145"/>
    <mergeCell ref="AE1146:AG1146"/>
    <mergeCell ref="AE1147:AG1147"/>
    <mergeCell ref="AE1148:AG1148"/>
    <mergeCell ref="AE1149:AG1149"/>
    <mergeCell ref="AE1150:AG1150"/>
    <mergeCell ref="AE1151:AG1151"/>
    <mergeCell ref="AE1152:AG1152"/>
    <mergeCell ref="AE1153:AG1153"/>
    <mergeCell ref="AE1154:AG1154"/>
    <mergeCell ref="AE1155:AG1155"/>
    <mergeCell ref="AE1156:AG1156"/>
    <mergeCell ref="AE1157:AG1157"/>
    <mergeCell ref="AE1158:AG1158"/>
    <mergeCell ref="AE1159:AG1159"/>
    <mergeCell ref="AE1160:AG1160"/>
    <mergeCell ref="AE1161:AG1161"/>
    <mergeCell ref="AE1162:AG1162"/>
    <mergeCell ref="AE1191:AG1191"/>
    <mergeCell ref="AE1192:AG1192"/>
    <mergeCell ref="AE1193:AG1193"/>
    <mergeCell ref="AE1194:AG1194"/>
    <mergeCell ref="AE1195:AG1195"/>
    <mergeCell ref="AE1196:AG1196"/>
    <mergeCell ref="AE1197:AG1197"/>
    <mergeCell ref="AE1198:AG1198"/>
    <mergeCell ref="AE1199:AG1199"/>
    <mergeCell ref="AE1200:AG1200"/>
    <mergeCell ref="AE1201:AG1201"/>
    <mergeCell ref="AE1202:AG1202"/>
    <mergeCell ref="AE1163:AG1163"/>
    <mergeCell ref="AE1164:AG1164"/>
    <mergeCell ref="AE1165:AG1165"/>
    <mergeCell ref="AE1166:AG1166"/>
    <mergeCell ref="AE1167:AG1167"/>
    <mergeCell ref="AE1168:AG1168"/>
    <mergeCell ref="AE1169:AG1169"/>
    <mergeCell ref="AE1170:AG1170"/>
    <mergeCell ref="AE1171:AG1171"/>
    <mergeCell ref="AE1172:AG1172"/>
    <mergeCell ref="AE1173:AG1173"/>
    <mergeCell ref="AE1174:AG1174"/>
    <mergeCell ref="Y1199:AA1199"/>
    <mergeCell ref="Y1200:AA1200"/>
    <mergeCell ref="Y1201:AA1201"/>
    <mergeCell ref="Y1202:AA1202"/>
    <mergeCell ref="Y1203:AA1203"/>
    <mergeCell ref="AB1196:AD1196"/>
    <mergeCell ref="AB1197:AD1197"/>
    <mergeCell ref="AB1198:AD1198"/>
    <mergeCell ref="AE1175:AG1175"/>
    <mergeCell ref="AE1176:AG1176"/>
    <mergeCell ref="AE1177:AG1177"/>
    <mergeCell ref="AE1178:AG1178"/>
    <mergeCell ref="Y1171:AA1171"/>
    <mergeCell ref="Y1172:AA1172"/>
    <mergeCell ref="Y1173:AA1173"/>
    <mergeCell ref="Y1174:AA1174"/>
    <mergeCell ref="J1209:X1209"/>
    <mergeCell ref="AE1204:AG1204"/>
    <mergeCell ref="AE1205:AG1205"/>
    <mergeCell ref="AE1206:AG1206"/>
    <mergeCell ref="AE1207:AG1207"/>
    <mergeCell ref="AE1208:AG1208"/>
    <mergeCell ref="AE1209:AG1209"/>
    <mergeCell ref="Y1186:AA1186"/>
    <mergeCell ref="Y1206:AA1206"/>
    <mergeCell ref="Y1207:AA1207"/>
    <mergeCell ref="Y1208:AA1208"/>
    <mergeCell ref="Y1209:AA1209"/>
    <mergeCell ref="AB1206:AD1206"/>
    <mergeCell ref="AB1207:AD1207"/>
    <mergeCell ref="AB1208:AD1208"/>
    <mergeCell ref="AB1209:AD1209"/>
    <mergeCell ref="J1210:X1210"/>
    <mergeCell ref="J1211:X1211"/>
    <mergeCell ref="J1213:X1213"/>
    <mergeCell ref="J1214:X1214"/>
    <mergeCell ref="E1208:I1208"/>
    <mergeCell ref="E1209:I1209"/>
    <mergeCell ref="E1210:I1210"/>
    <mergeCell ref="E1211:I1211"/>
    <mergeCell ref="E1213:I1213"/>
    <mergeCell ref="E1214:I1214"/>
    <mergeCell ref="J1174:X1174"/>
    <mergeCell ref="C1228:D1228"/>
    <mergeCell ref="C1229:D1229"/>
    <mergeCell ref="C1211:D1211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194:D1194"/>
    <mergeCell ref="C1195:D1195"/>
    <mergeCell ref="C1196:D1196"/>
    <mergeCell ref="C1207:D1207"/>
    <mergeCell ref="C1208:D1208"/>
    <mergeCell ref="C1209:D1209"/>
    <mergeCell ref="C1210:D1210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70:D1170"/>
    <mergeCell ref="C1171:D1171"/>
    <mergeCell ref="C1172:D1172"/>
    <mergeCell ref="C1173:D1173"/>
    <mergeCell ref="C1174:D1174"/>
    <mergeCell ref="C1175:D1175"/>
    <mergeCell ref="C1176:D117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AE1133:AG1133"/>
    <mergeCell ref="AE1134:AG1134"/>
    <mergeCell ref="AE1135:AG1135"/>
    <mergeCell ref="AE1136:AG1136"/>
    <mergeCell ref="AE1137:AG1137"/>
    <mergeCell ref="AE1138:AG1138"/>
    <mergeCell ref="AE1139:AG1139"/>
    <mergeCell ref="AE1140:AG1140"/>
    <mergeCell ref="AE1141:AG1141"/>
    <mergeCell ref="Y1139:AA1139"/>
    <mergeCell ref="Y1140:AA1140"/>
    <mergeCell ref="Y1141:AA1141"/>
    <mergeCell ref="AB1135:AD1135"/>
    <mergeCell ref="AB1136:AD1136"/>
    <mergeCell ref="AB1137:AD1137"/>
    <mergeCell ref="AB1138:AD1138"/>
    <mergeCell ref="AB1139:AD1139"/>
    <mergeCell ref="AB1140:AD1140"/>
    <mergeCell ref="AB1141:AD1141"/>
    <mergeCell ref="AE1125:AG1125"/>
    <mergeCell ref="AE1126:AG1126"/>
    <mergeCell ref="AE1127:AG1127"/>
    <mergeCell ref="AE1128:AG1128"/>
    <mergeCell ref="AE1129:AG1129"/>
    <mergeCell ref="AE1130:AG1130"/>
    <mergeCell ref="AE1131:AG1131"/>
    <mergeCell ref="AE1114:AG1114"/>
    <mergeCell ref="AE1115:AG1115"/>
    <mergeCell ref="AE1116:AG1116"/>
    <mergeCell ref="AE1117:AG1117"/>
    <mergeCell ref="AE1118:AG1118"/>
    <mergeCell ref="AE1119:AG1119"/>
    <mergeCell ref="AE1120:AG1120"/>
    <mergeCell ref="C1123:D1123"/>
    <mergeCell ref="C1124:D1124"/>
    <mergeCell ref="C1125:D1125"/>
    <mergeCell ref="C1126:D1126"/>
    <mergeCell ref="C1127:D1127"/>
    <mergeCell ref="C1128:D1128"/>
    <mergeCell ref="C1129:D1129"/>
    <mergeCell ref="J1115:X1115"/>
    <mergeCell ref="J1116:X1116"/>
    <mergeCell ref="J1117:X1117"/>
    <mergeCell ref="J1118:X1118"/>
    <mergeCell ref="J1119:X1119"/>
    <mergeCell ref="J1120:X1120"/>
    <mergeCell ref="J1121:X1121"/>
    <mergeCell ref="E1137:I1137"/>
    <mergeCell ref="E1138:I1138"/>
    <mergeCell ref="AH1083:AJ1083"/>
    <mergeCell ref="AH1094:AJ1094"/>
    <mergeCell ref="AH1102:AJ1102"/>
    <mergeCell ref="AK1083:AM1083"/>
    <mergeCell ref="AK1094:AM1094"/>
    <mergeCell ref="AK1102:AM1102"/>
    <mergeCell ref="AB1094:AD1094"/>
    <mergeCell ref="AB1095:AD1095"/>
    <mergeCell ref="AB1096:AD1096"/>
    <mergeCell ref="AB1097:AD1097"/>
    <mergeCell ref="AB1098:AD1098"/>
    <mergeCell ref="AB1099:AD1099"/>
    <mergeCell ref="AB1100:AD1100"/>
    <mergeCell ref="AB1101:AD1101"/>
    <mergeCell ref="AB1102:AD1102"/>
    <mergeCell ref="AB1104:AD1104"/>
    <mergeCell ref="AB1105:AD1105"/>
    <mergeCell ref="AH1087:AJ1087"/>
    <mergeCell ref="AK1087:AM1087"/>
    <mergeCell ref="AH1092:AJ1092"/>
    <mergeCell ref="AK1092:AM1092"/>
    <mergeCell ref="AH1099:AJ1099"/>
    <mergeCell ref="AK1099:AM1099"/>
    <mergeCell ref="AB1075:AD1075"/>
    <mergeCell ref="AB1076:AD1076"/>
    <mergeCell ref="AB1077:AD1077"/>
    <mergeCell ref="AB1078:AD1078"/>
    <mergeCell ref="AB1079:AD1079"/>
    <mergeCell ref="AB1080:AD1080"/>
    <mergeCell ref="AB1083:AD1083"/>
    <mergeCell ref="AB1085:AD1085"/>
    <mergeCell ref="AB1086:AD1086"/>
    <mergeCell ref="AB1106:AD1106"/>
    <mergeCell ref="AB1107:AD1107"/>
    <mergeCell ref="AB1108:AD1108"/>
    <mergeCell ref="AB1109:AD1109"/>
    <mergeCell ref="Y1095:AA1095"/>
    <mergeCell ref="Y1096:AA1096"/>
    <mergeCell ref="Y1097:AA1097"/>
    <mergeCell ref="Y1098:AA1098"/>
    <mergeCell ref="Y1099:AA1099"/>
    <mergeCell ref="Y1100:AA1100"/>
    <mergeCell ref="Y1101:AA1101"/>
    <mergeCell ref="Y1102:AA1102"/>
    <mergeCell ref="Y1104:AA1104"/>
    <mergeCell ref="Y1105:AA1105"/>
    <mergeCell ref="Y1106:AA1106"/>
    <mergeCell ref="Y1107:AA1107"/>
    <mergeCell ref="Y1108:AA1108"/>
    <mergeCell ref="Y1109:AA1109"/>
    <mergeCell ref="Y1067:AA1067"/>
    <mergeCell ref="Y1068:AA1068"/>
    <mergeCell ref="Y1069:AA1069"/>
    <mergeCell ref="Y1070:AA1070"/>
    <mergeCell ref="Y1071:AA1071"/>
    <mergeCell ref="Y1072:AA1072"/>
    <mergeCell ref="Y1073:AA1073"/>
    <mergeCell ref="Y1074:AA1074"/>
    <mergeCell ref="Y1075:AA1075"/>
    <mergeCell ref="Y1076:AA1076"/>
    <mergeCell ref="Y1077:AA1077"/>
    <mergeCell ref="Y1078:AA1078"/>
    <mergeCell ref="Y1079:AA1079"/>
    <mergeCell ref="Y1080:AA1080"/>
    <mergeCell ref="Y1083:AA1083"/>
    <mergeCell ref="Y1085:AA1085"/>
    <mergeCell ref="Y1086:AA1086"/>
    <mergeCell ref="C1082:AS1082"/>
    <mergeCell ref="AH1085:AJ1085"/>
    <mergeCell ref="AK1085:AM1085"/>
    <mergeCell ref="AN1085:AS1085"/>
    <mergeCell ref="AH1086:AJ1086"/>
    <mergeCell ref="AK1086:AM1086"/>
    <mergeCell ref="AN1086:AS1086"/>
    <mergeCell ref="AB1067:AD1067"/>
    <mergeCell ref="AB1068:AD1068"/>
    <mergeCell ref="AB1069:AD1069"/>
    <mergeCell ref="AB1070:AD1070"/>
    <mergeCell ref="AB1071:AD1071"/>
    <mergeCell ref="AB1072:AD1072"/>
    <mergeCell ref="AB1073:AD1073"/>
    <mergeCell ref="AB1074:AD1074"/>
    <mergeCell ref="C1104:D1104"/>
    <mergeCell ref="C1105:D1105"/>
    <mergeCell ref="C1106:D1106"/>
    <mergeCell ref="C1107:D1107"/>
    <mergeCell ref="C1108:D1108"/>
    <mergeCell ref="AE1104:AG1104"/>
    <mergeCell ref="AE1105:AG1105"/>
    <mergeCell ref="AE1106:AG1106"/>
    <mergeCell ref="AE1107:AG1107"/>
    <mergeCell ref="AE1108:AG1108"/>
    <mergeCell ref="Y1087:AA1087"/>
    <mergeCell ref="Y1088:AA1088"/>
    <mergeCell ref="Y1089:AA1089"/>
    <mergeCell ref="Y1090:AA1090"/>
    <mergeCell ref="Y1091:AA1091"/>
    <mergeCell ref="Y1092:AA1092"/>
    <mergeCell ref="Y1093:AA1093"/>
    <mergeCell ref="Y1094:AA1094"/>
    <mergeCell ref="E1087:I1087"/>
    <mergeCell ref="E1088:I1088"/>
    <mergeCell ref="E1089:I1089"/>
    <mergeCell ref="E1090:I1090"/>
    <mergeCell ref="E1091:I1091"/>
    <mergeCell ref="E1092:I1092"/>
    <mergeCell ref="E1093:I1093"/>
    <mergeCell ref="E1094:I1094"/>
    <mergeCell ref="E1095:I1095"/>
    <mergeCell ref="J1098:X1098"/>
    <mergeCell ref="J1099:X1099"/>
    <mergeCell ref="J1100:X1100"/>
    <mergeCell ref="J1101:X1101"/>
    <mergeCell ref="J1102:X1102"/>
    <mergeCell ref="C1070:D1070"/>
    <mergeCell ref="C1071:D1071"/>
    <mergeCell ref="C1072:D1072"/>
    <mergeCell ref="C1073:D1073"/>
    <mergeCell ref="C1074:D1074"/>
    <mergeCell ref="C1075:D1075"/>
    <mergeCell ref="C1076:D1076"/>
    <mergeCell ref="C1077:D1077"/>
    <mergeCell ref="C1078:D1078"/>
    <mergeCell ref="C1079:D1079"/>
    <mergeCell ref="C1080:D1080"/>
    <mergeCell ref="AE1109:AG1109"/>
    <mergeCell ref="AE1085:AG1085"/>
    <mergeCell ref="AE1086:AG1086"/>
    <mergeCell ref="AE1087:AG1087"/>
    <mergeCell ref="AE1088:AG1088"/>
    <mergeCell ref="AE1089:AG1089"/>
    <mergeCell ref="AE1090:AG1090"/>
    <mergeCell ref="AE1091:AG1091"/>
    <mergeCell ref="AE1092:AG1092"/>
    <mergeCell ref="AE1093:AG1093"/>
    <mergeCell ref="AE1094:AG1094"/>
    <mergeCell ref="AE1095:AG1095"/>
    <mergeCell ref="AE1096:AG1096"/>
    <mergeCell ref="C1100:D1100"/>
    <mergeCell ref="C1101:D1101"/>
    <mergeCell ref="J1093:X1093"/>
    <mergeCell ref="J1094:X1094"/>
    <mergeCell ref="J1095:X1095"/>
    <mergeCell ref="E1096:I1096"/>
    <mergeCell ref="E1097:I1097"/>
    <mergeCell ref="E1098:I1098"/>
    <mergeCell ref="AN1050:AS1050"/>
    <mergeCell ref="AN1051:AS1051"/>
    <mergeCell ref="AN1052:AS1052"/>
    <mergeCell ref="AN1053:AS1053"/>
    <mergeCell ref="AN1054:AS1054"/>
    <mergeCell ref="AN1055:AS1055"/>
    <mergeCell ref="AN1056:AS1056"/>
    <mergeCell ref="AN1057:AS1057"/>
    <mergeCell ref="AN1058:AS1058"/>
    <mergeCell ref="AN1059:AS1059"/>
    <mergeCell ref="AN1060:AS1060"/>
    <mergeCell ref="AN1061:AS1061"/>
    <mergeCell ref="AN1062:AS1062"/>
    <mergeCell ref="AH1048:AJ1048"/>
    <mergeCell ref="AH1049:AJ1049"/>
    <mergeCell ref="AH1050:AJ1050"/>
    <mergeCell ref="AH1051:AJ1051"/>
    <mergeCell ref="AH1052:AJ1052"/>
    <mergeCell ref="AH1053:AJ1053"/>
    <mergeCell ref="AH1054:AJ1054"/>
    <mergeCell ref="AH1055:AJ1055"/>
    <mergeCell ref="AH1056:AJ1056"/>
    <mergeCell ref="AH1057:AJ1057"/>
    <mergeCell ref="AH1058:AJ1058"/>
    <mergeCell ref="AH1059:AJ1059"/>
    <mergeCell ref="AH1060:AJ1060"/>
    <mergeCell ref="AH1061:AJ1061"/>
    <mergeCell ref="AH1062:AJ1062"/>
    <mergeCell ref="AH1063:AJ1063"/>
    <mergeCell ref="AK1048:AM1048"/>
    <mergeCell ref="AK1049:AM1049"/>
    <mergeCell ref="AK1050:AM1050"/>
    <mergeCell ref="AK1051:AM1051"/>
    <mergeCell ref="AK1052:AM1052"/>
    <mergeCell ref="AK1053:AM1053"/>
    <mergeCell ref="AK1054:AM1054"/>
    <mergeCell ref="AK1055:AM1055"/>
    <mergeCell ref="AK1056:AM1056"/>
    <mergeCell ref="AK1057:AM1057"/>
    <mergeCell ref="AK1058:AM1058"/>
    <mergeCell ref="AK1059:AM1059"/>
    <mergeCell ref="AK1060:AM1060"/>
    <mergeCell ref="AK1061:AM1061"/>
    <mergeCell ref="AK1062:AM1062"/>
    <mergeCell ref="AK1063:AM1063"/>
    <mergeCell ref="Y1050:AA1050"/>
    <mergeCell ref="Y1051:AA1051"/>
    <mergeCell ref="Y1052:AA1052"/>
    <mergeCell ref="Y1053:AA1053"/>
    <mergeCell ref="Y1054:AA1054"/>
    <mergeCell ref="Y1055:AA1055"/>
    <mergeCell ref="Y1056:AA1056"/>
    <mergeCell ref="Y1057:AA1057"/>
    <mergeCell ref="Y1058:AA1058"/>
    <mergeCell ref="Y1059:AA1059"/>
    <mergeCell ref="Y1060:AA1060"/>
    <mergeCell ref="Y1061:AA1061"/>
    <mergeCell ref="Y1062:AA1062"/>
    <mergeCell ref="Y1063:AA1063"/>
    <mergeCell ref="Y1064:AA1064"/>
    <mergeCell ref="AB1048:AD1048"/>
    <mergeCell ref="AB1049:AD1049"/>
    <mergeCell ref="AB1050:AD1050"/>
    <mergeCell ref="AB1051:AD1051"/>
    <mergeCell ref="AB1052:AD1052"/>
    <mergeCell ref="AB1053:AD1053"/>
    <mergeCell ref="AB1054:AD1054"/>
    <mergeCell ref="AB1055:AD1055"/>
    <mergeCell ref="AB1056:AD1056"/>
    <mergeCell ref="AB1057:AD1057"/>
    <mergeCell ref="AB1058:AD1058"/>
    <mergeCell ref="AB1059:AD1059"/>
    <mergeCell ref="AB1060:AD1060"/>
    <mergeCell ref="AB1061:AD1061"/>
    <mergeCell ref="AB1062:AD1062"/>
    <mergeCell ref="AB1063:AD1063"/>
    <mergeCell ref="AB1064:AD1064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C1064:D1064"/>
    <mergeCell ref="AE1048:AG1048"/>
    <mergeCell ref="AE1049:AG1049"/>
    <mergeCell ref="AE1050:AG1050"/>
    <mergeCell ref="AE1051:AG1051"/>
    <mergeCell ref="AE1052:AG1052"/>
    <mergeCell ref="AE1053:AG1053"/>
    <mergeCell ref="AE1054:AG1054"/>
    <mergeCell ref="AE1055:AG1055"/>
    <mergeCell ref="AE1056:AG1056"/>
    <mergeCell ref="AE1057:AG1057"/>
    <mergeCell ref="AE1058:AG1058"/>
    <mergeCell ref="AE1059:AG1059"/>
    <mergeCell ref="AE1060:AG1060"/>
    <mergeCell ref="AE1061:AG1061"/>
    <mergeCell ref="AE1062:AG1062"/>
    <mergeCell ref="AE1063:AG1063"/>
    <mergeCell ref="AE1064:AG1064"/>
    <mergeCell ref="AN575:AS575"/>
    <mergeCell ref="AN574:AS574"/>
    <mergeCell ref="AN573:AS573"/>
    <mergeCell ref="AN572:AS572"/>
    <mergeCell ref="AK596:AS596"/>
    <mergeCell ref="C593:AS593"/>
    <mergeCell ref="AN578:AS578"/>
    <mergeCell ref="AN579:AS579"/>
    <mergeCell ref="C797:AM797"/>
    <mergeCell ref="C798:AM798"/>
    <mergeCell ref="C559:U559"/>
    <mergeCell ref="AB559:AG559"/>
    <mergeCell ref="AH559:AM559"/>
    <mergeCell ref="C560:U560"/>
    <mergeCell ref="AB560:AG560"/>
    <mergeCell ref="C1048:D1048"/>
    <mergeCell ref="C1049:D1049"/>
    <mergeCell ref="Y1048:AA1048"/>
    <mergeCell ref="Y1049:AA1049"/>
    <mergeCell ref="AN1048:AS1048"/>
    <mergeCell ref="AN1049:AS1049"/>
    <mergeCell ref="J1048:X1048"/>
    <mergeCell ref="J1049:X1049"/>
    <mergeCell ref="AH560:AM560"/>
    <mergeCell ref="C561:U561"/>
    <mergeCell ref="AB561:AG561"/>
    <mergeCell ref="AH561:AM561"/>
    <mergeCell ref="V559:AA559"/>
    <mergeCell ref="V560:AA560"/>
    <mergeCell ref="V561:AA561"/>
    <mergeCell ref="AN561:AS561"/>
    <mergeCell ref="AN560:AS560"/>
    <mergeCell ref="G507:M507"/>
    <mergeCell ref="G508:M508"/>
    <mergeCell ref="G509:M509"/>
    <mergeCell ref="G519:Q519"/>
    <mergeCell ref="G520:Q520"/>
    <mergeCell ref="G521:Q521"/>
    <mergeCell ref="G522:Q522"/>
    <mergeCell ref="G523:Q523"/>
    <mergeCell ref="G524:Q524"/>
    <mergeCell ref="G525:Q525"/>
    <mergeCell ref="G526:Q526"/>
    <mergeCell ref="G527:Q527"/>
    <mergeCell ref="R517:AC517"/>
    <mergeCell ref="R518:AC518"/>
    <mergeCell ref="R519:AC519"/>
    <mergeCell ref="R520:AC520"/>
    <mergeCell ref="R521:AC521"/>
    <mergeCell ref="R522:AC522"/>
    <mergeCell ref="R523:AC523"/>
    <mergeCell ref="R524:AC524"/>
    <mergeCell ref="R525:AC525"/>
    <mergeCell ref="R526:AC526"/>
    <mergeCell ref="R527:AC527"/>
    <mergeCell ref="G510:M510"/>
    <mergeCell ref="G511:M511"/>
    <mergeCell ref="G512:M512"/>
    <mergeCell ref="G513:M513"/>
    <mergeCell ref="N511:U511"/>
    <mergeCell ref="N512:U512"/>
    <mergeCell ref="N513:U513"/>
    <mergeCell ref="C517:F517"/>
    <mergeCell ref="C518:F518"/>
    <mergeCell ref="C519:F519"/>
    <mergeCell ref="C520:F520"/>
    <mergeCell ref="C521:F521"/>
    <mergeCell ref="C522:F522"/>
    <mergeCell ref="C523:F523"/>
    <mergeCell ref="C524:F524"/>
    <mergeCell ref="C525:F525"/>
    <mergeCell ref="C526:F526"/>
    <mergeCell ref="C527:F527"/>
    <mergeCell ref="AL517:AS517"/>
    <mergeCell ref="AL518:AS518"/>
    <mergeCell ref="AL519:AS519"/>
    <mergeCell ref="AL520:AS520"/>
    <mergeCell ref="AL521:AS521"/>
    <mergeCell ref="AL522:AS522"/>
    <mergeCell ref="AL523:AS523"/>
    <mergeCell ref="AL524:AS524"/>
    <mergeCell ref="AL525:AS525"/>
    <mergeCell ref="AL526:AS526"/>
    <mergeCell ref="AL527:AS527"/>
    <mergeCell ref="AD517:AK517"/>
    <mergeCell ref="AD518:AK518"/>
    <mergeCell ref="AD519:AK519"/>
    <mergeCell ref="G517:Q517"/>
    <mergeCell ref="G518:Q518"/>
    <mergeCell ref="C502:F502"/>
    <mergeCell ref="C503:F503"/>
    <mergeCell ref="C504:F504"/>
    <mergeCell ref="C505:F505"/>
    <mergeCell ref="C506:F506"/>
    <mergeCell ref="C507:F507"/>
    <mergeCell ref="C508:F508"/>
    <mergeCell ref="C509:F509"/>
    <mergeCell ref="C510:F510"/>
    <mergeCell ref="C511:F511"/>
    <mergeCell ref="C512:F512"/>
    <mergeCell ref="C513:F513"/>
    <mergeCell ref="V502:AC502"/>
    <mergeCell ref="V503:AC503"/>
    <mergeCell ref="V504:AC504"/>
    <mergeCell ref="V505:AC505"/>
    <mergeCell ref="V506:AC506"/>
    <mergeCell ref="V507:AC507"/>
    <mergeCell ref="V508:AC508"/>
    <mergeCell ref="V509:AC509"/>
    <mergeCell ref="V510:AC510"/>
    <mergeCell ref="V511:AC511"/>
    <mergeCell ref="V512:AC512"/>
    <mergeCell ref="V513:AC513"/>
    <mergeCell ref="N502:U502"/>
    <mergeCell ref="N503:U503"/>
    <mergeCell ref="N504:U504"/>
    <mergeCell ref="N505:U505"/>
    <mergeCell ref="N507:U507"/>
    <mergeCell ref="N508:U508"/>
    <mergeCell ref="N509:U509"/>
    <mergeCell ref="N510:U510"/>
    <mergeCell ref="AL502:AS502"/>
    <mergeCell ref="AL503:AS503"/>
    <mergeCell ref="AL504:AS504"/>
    <mergeCell ref="AL505:AS505"/>
    <mergeCell ref="AL506:AS506"/>
    <mergeCell ref="AL507:AS507"/>
    <mergeCell ref="AL508:AS508"/>
    <mergeCell ref="AL509:AS509"/>
    <mergeCell ref="AL510:AS510"/>
    <mergeCell ref="AL511:AS511"/>
    <mergeCell ref="AL512:AS512"/>
    <mergeCell ref="AL513:AS513"/>
    <mergeCell ref="AD502:AK502"/>
    <mergeCell ref="AD503:AK503"/>
    <mergeCell ref="AD504:AK504"/>
    <mergeCell ref="AD505:AK505"/>
    <mergeCell ref="AD506:AK506"/>
    <mergeCell ref="AD507:AK507"/>
    <mergeCell ref="AD508:AK508"/>
    <mergeCell ref="AD509:AK509"/>
    <mergeCell ref="AD510:AK510"/>
    <mergeCell ref="AD511:AK511"/>
    <mergeCell ref="AD512:AK512"/>
    <mergeCell ref="AD513:AK513"/>
    <mergeCell ref="C484:K484"/>
    <mergeCell ref="L484:O484"/>
    <mergeCell ref="P484:T484"/>
    <mergeCell ref="U484:Y484"/>
    <mergeCell ref="Z484:AD484"/>
    <mergeCell ref="AE484:AI484"/>
    <mergeCell ref="AJ484:AN484"/>
    <mergeCell ref="AO484:AS484"/>
    <mergeCell ref="C485:K485"/>
    <mergeCell ref="L485:O485"/>
    <mergeCell ref="P485:T485"/>
    <mergeCell ref="U485:Y485"/>
    <mergeCell ref="Z485:AD485"/>
    <mergeCell ref="AE485:AI485"/>
    <mergeCell ref="AJ485:AN485"/>
    <mergeCell ref="AO485:AS485"/>
    <mergeCell ref="N506:U506"/>
    <mergeCell ref="C500:AS500"/>
    <mergeCell ref="C492:AS492"/>
    <mergeCell ref="G502:M502"/>
    <mergeCell ref="G503:M503"/>
    <mergeCell ref="G504:M504"/>
    <mergeCell ref="G505:M505"/>
    <mergeCell ref="G506:M506"/>
    <mergeCell ref="C493:K494"/>
    <mergeCell ref="L493:O494"/>
    <mergeCell ref="P493:Y493"/>
    <mergeCell ref="Z493:AI493"/>
    <mergeCell ref="AJ493:AS493"/>
    <mergeCell ref="P494:T494"/>
    <mergeCell ref="U494:Y494"/>
    <mergeCell ref="Z494:AD494"/>
    <mergeCell ref="AO478:AS478"/>
    <mergeCell ref="C479:K479"/>
    <mergeCell ref="L479:O479"/>
    <mergeCell ref="P479:T479"/>
    <mergeCell ref="U479:Y479"/>
    <mergeCell ref="Z479:AD479"/>
    <mergeCell ref="AE479:AI479"/>
    <mergeCell ref="AJ479:AN479"/>
    <mergeCell ref="AO479:AS479"/>
    <mergeCell ref="C480:K480"/>
    <mergeCell ref="L480:O480"/>
    <mergeCell ref="P480:T480"/>
    <mergeCell ref="U480:Y480"/>
    <mergeCell ref="Z480:AD480"/>
    <mergeCell ref="AE480:AI480"/>
    <mergeCell ref="AJ480:AN480"/>
    <mergeCell ref="AO480:AS480"/>
    <mergeCell ref="C478:K478"/>
    <mergeCell ref="L478:O478"/>
    <mergeCell ref="P478:T478"/>
    <mergeCell ref="U478:Y478"/>
    <mergeCell ref="Z478:AD478"/>
    <mergeCell ref="AE478:AI478"/>
    <mergeCell ref="AJ478:AN478"/>
    <mergeCell ref="C468:K468"/>
    <mergeCell ref="L468:O468"/>
    <mergeCell ref="P468:T468"/>
    <mergeCell ref="U468:Y468"/>
    <mergeCell ref="Z468:AD468"/>
    <mergeCell ref="AE468:AI468"/>
    <mergeCell ref="AJ468:AN468"/>
    <mergeCell ref="AO468:AS468"/>
    <mergeCell ref="C473:K474"/>
    <mergeCell ref="L473:O474"/>
    <mergeCell ref="P473:Y473"/>
    <mergeCell ref="Z473:AI473"/>
    <mergeCell ref="AJ473:AS473"/>
    <mergeCell ref="P474:T474"/>
    <mergeCell ref="U474:Y474"/>
    <mergeCell ref="Z474:AD474"/>
    <mergeCell ref="AE474:AI474"/>
    <mergeCell ref="AJ474:AN474"/>
    <mergeCell ref="AO474:AS474"/>
    <mergeCell ref="C464:K464"/>
    <mergeCell ref="L464:O464"/>
    <mergeCell ref="P464:T464"/>
    <mergeCell ref="U464:Y464"/>
    <mergeCell ref="Z464:AD464"/>
    <mergeCell ref="AE464:AI464"/>
    <mergeCell ref="AJ464:AN464"/>
    <mergeCell ref="AO464:AS464"/>
    <mergeCell ref="C467:K467"/>
    <mergeCell ref="L467:O467"/>
    <mergeCell ref="P467:T467"/>
    <mergeCell ref="U467:Y467"/>
    <mergeCell ref="Z467:AD467"/>
    <mergeCell ref="AE467:AI467"/>
    <mergeCell ref="AJ467:AN467"/>
    <mergeCell ref="AO467:AS467"/>
    <mergeCell ref="C466:K466"/>
    <mergeCell ref="L466:O466"/>
    <mergeCell ref="P466:T466"/>
    <mergeCell ref="U466:Y466"/>
    <mergeCell ref="Z466:AD466"/>
    <mergeCell ref="AE466:AI466"/>
    <mergeCell ref="AJ466:AN466"/>
    <mergeCell ref="AO466:AS466"/>
    <mergeCell ref="C461:K461"/>
    <mergeCell ref="L461:O461"/>
    <mergeCell ref="P461:T461"/>
    <mergeCell ref="U461:Y461"/>
    <mergeCell ref="Z461:AD461"/>
    <mergeCell ref="AE461:AI461"/>
    <mergeCell ref="AJ461:AN461"/>
    <mergeCell ref="AO461:AS461"/>
    <mergeCell ref="C462:K462"/>
    <mergeCell ref="L462:O462"/>
    <mergeCell ref="P462:T462"/>
    <mergeCell ref="U462:Y462"/>
    <mergeCell ref="Z462:AD462"/>
    <mergeCell ref="AE462:AI462"/>
    <mergeCell ref="AJ462:AN462"/>
    <mergeCell ref="AO462:AS462"/>
    <mergeCell ref="C465:K465"/>
    <mergeCell ref="L465:O465"/>
    <mergeCell ref="P465:T465"/>
    <mergeCell ref="U465:Y465"/>
    <mergeCell ref="Z465:AD465"/>
    <mergeCell ref="AE465:AI465"/>
    <mergeCell ref="AJ465:AN465"/>
    <mergeCell ref="AO465:AS465"/>
    <mergeCell ref="C463:K463"/>
    <mergeCell ref="L463:O463"/>
    <mergeCell ref="P463:T463"/>
    <mergeCell ref="U463:Y463"/>
    <mergeCell ref="Z463:AD463"/>
    <mergeCell ref="AE463:AI463"/>
    <mergeCell ref="AJ463:AN463"/>
    <mergeCell ref="AO463:AS463"/>
    <mergeCell ref="C455:K455"/>
    <mergeCell ref="L455:O455"/>
    <mergeCell ref="P455:T455"/>
    <mergeCell ref="U455:Y455"/>
    <mergeCell ref="Z455:AD455"/>
    <mergeCell ref="AE455:AI455"/>
    <mergeCell ref="AJ455:AN455"/>
    <mergeCell ref="AO455:AS455"/>
    <mergeCell ref="C456:K456"/>
    <mergeCell ref="L456:O456"/>
    <mergeCell ref="P456:T456"/>
    <mergeCell ref="U456:Y456"/>
    <mergeCell ref="Z456:AD456"/>
    <mergeCell ref="AE456:AI456"/>
    <mergeCell ref="AJ456:AN456"/>
    <mergeCell ref="AO456:AS456"/>
    <mergeCell ref="C459:K460"/>
    <mergeCell ref="L459:O460"/>
    <mergeCell ref="P459:Y459"/>
    <mergeCell ref="Z459:AI459"/>
    <mergeCell ref="AJ459:AS459"/>
    <mergeCell ref="P460:T460"/>
    <mergeCell ref="U460:Y460"/>
    <mergeCell ref="Z460:AD460"/>
    <mergeCell ref="AE460:AI460"/>
    <mergeCell ref="AJ460:AN460"/>
    <mergeCell ref="AO460:AS460"/>
    <mergeCell ref="AO452:AS452"/>
    <mergeCell ref="C453:K453"/>
    <mergeCell ref="L453:O453"/>
    <mergeCell ref="P453:T453"/>
    <mergeCell ref="U453:Y453"/>
    <mergeCell ref="Z453:AD453"/>
    <mergeCell ref="AE453:AI453"/>
    <mergeCell ref="AJ453:AN453"/>
    <mergeCell ref="AO453:AS453"/>
    <mergeCell ref="C454:K454"/>
    <mergeCell ref="L454:O454"/>
    <mergeCell ref="P454:T454"/>
    <mergeCell ref="U454:Y454"/>
    <mergeCell ref="Z454:AD454"/>
    <mergeCell ref="AE454:AI454"/>
    <mergeCell ref="AJ454:AN454"/>
    <mergeCell ref="AO454:AS454"/>
    <mergeCell ref="Z448:AD448"/>
    <mergeCell ref="AE448:AI448"/>
    <mergeCell ref="AJ448:AN448"/>
    <mergeCell ref="AO448:AS448"/>
    <mergeCell ref="C449:K449"/>
    <mergeCell ref="L449:O449"/>
    <mergeCell ref="P449:T449"/>
    <mergeCell ref="U449:Y449"/>
    <mergeCell ref="Z449:AD449"/>
    <mergeCell ref="AE449:AI449"/>
    <mergeCell ref="AJ449:AN449"/>
    <mergeCell ref="AO449:AS449"/>
    <mergeCell ref="C451:K451"/>
    <mergeCell ref="L451:O451"/>
    <mergeCell ref="P451:T451"/>
    <mergeCell ref="U451:Y451"/>
    <mergeCell ref="Z451:AD451"/>
    <mergeCell ref="AE451:AI451"/>
    <mergeCell ref="AJ451:AN451"/>
    <mergeCell ref="AO451:AS451"/>
    <mergeCell ref="C450:K450"/>
    <mergeCell ref="L450:O450"/>
    <mergeCell ref="P450:T450"/>
    <mergeCell ref="U450:Y450"/>
    <mergeCell ref="Z450:AD450"/>
    <mergeCell ref="AE450:AI450"/>
    <mergeCell ref="AJ450:AN450"/>
    <mergeCell ref="AO450:AS450"/>
    <mergeCell ref="C441:K441"/>
    <mergeCell ref="C437:K437"/>
    <mergeCell ref="P417:Y417"/>
    <mergeCell ref="Z417:AI417"/>
    <mergeCell ref="AJ417:AS417"/>
    <mergeCell ref="L417:O418"/>
    <mergeCell ref="C417:K418"/>
    <mergeCell ref="C431:K432"/>
    <mergeCell ref="L431:O432"/>
    <mergeCell ref="P431:Y431"/>
    <mergeCell ref="Z431:AI431"/>
    <mergeCell ref="AJ431:AS431"/>
    <mergeCell ref="C439:K440"/>
    <mergeCell ref="L439:O440"/>
    <mergeCell ref="P439:Y439"/>
    <mergeCell ref="Z439:AI439"/>
    <mergeCell ref="AJ439:AS439"/>
    <mergeCell ref="P440:T440"/>
    <mergeCell ref="P441:T441"/>
    <mergeCell ref="P437:T437"/>
    <mergeCell ref="L419:O419"/>
    <mergeCell ref="L420:O420"/>
    <mergeCell ref="L421:O421"/>
    <mergeCell ref="L422:O422"/>
    <mergeCell ref="L423:O423"/>
    <mergeCell ref="L424:O424"/>
    <mergeCell ref="L425:O425"/>
    <mergeCell ref="L426:O426"/>
    <mergeCell ref="L427:O427"/>
    <mergeCell ref="L428:O428"/>
    <mergeCell ref="L429:O429"/>
    <mergeCell ref="L433:O433"/>
    <mergeCell ref="C442:K442"/>
    <mergeCell ref="L442:O442"/>
    <mergeCell ref="P442:T442"/>
    <mergeCell ref="U442:Y442"/>
    <mergeCell ref="Z442:AD442"/>
    <mergeCell ref="AE442:AI442"/>
    <mergeCell ref="AJ442:AN442"/>
    <mergeCell ref="AO442:AS442"/>
    <mergeCell ref="C443:K443"/>
    <mergeCell ref="L443:O443"/>
    <mergeCell ref="P443:T443"/>
    <mergeCell ref="U443:Y443"/>
    <mergeCell ref="Z443:AD443"/>
    <mergeCell ref="L441:O441"/>
    <mergeCell ref="L437:O437"/>
    <mergeCell ref="C419:K419"/>
    <mergeCell ref="C420:K420"/>
    <mergeCell ref="C421:K421"/>
    <mergeCell ref="C422:K422"/>
    <mergeCell ref="C423:K423"/>
    <mergeCell ref="C424:K424"/>
    <mergeCell ref="C425:K425"/>
    <mergeCell ref="C426:K426"/>
    <mergeCell ref="C427:K427"/>
    <mergeCell ref="C428:K428"/>
    <mergeCell ref="C429:K429"/>
    <mergeCell ref="C433:K433"/>
    <mergeCell ref="C434:K434"/>
    <mergeCell ref="C435:K435"/>
    <mergeCell ref="C436:K436"/>
    <mergeCell ref="P435:T435"/>
    <mergeCell ref="P436:T436"/>
    <mergeCell ref="U427:Y427"/>
    <mergeCell ref="U428:Y428"/>
    <mergeCell ref="U429:Y429"/>
    <mergeCell ref="U432:Y432"/>
    <mergeCell ref="U433:Y433"/>
    <mergeCell ref="U434:Y434"/>
    <mergeCell ref="U435:Y435"/>
    <mergeCell ref="U436:Y436"/>
    <mergeCell ref="U440:Y440"/>
    <mergeCell ref="U441:Y441"/>
    <mergeCell ref="U437:Y437"/>
    <mergeCell ref="L434:O434"/>
    <mergeCell ref="L436:O436"/>
    <mergeCell ref="L435:O435"/>
    <mergeCell ref="P418:T418"/>
    <mergeCell ref="P419:T419"/>
    <mergeCell ref="P420:T420"/>
    <mergeCell ref="P421:T421"/>
    <mergeCell ref="P422:T422"/>
    <mergeCell ref="P423:T423"/>
    <mergeCell ref="P424:T424"/>
    <mergeCell ref="P425:T425"/>
    <mergeCell ref="P426:T426"/>
    <mergeCell ref="P427:T427"/>
    <mergeCell ref="P428:T428"/>
    <mergeCell ref="P429:T429"/>
    <mergeCell ref="P432:T432"/>
    <mergeCell ref="P433:T433"/>
    <mergeCell ref="P434:T434"/>
    <mergeCell ref="AE440:AI440"/>
    <mergeCell ref="AE441:AI441"/>
    <mergeCell ref="AE437:AI437"/>
    <mergeCell ref="Z418:AD418"/>
    <mergeCell ref="Z419:AD419"/>
    <mergeCell ref="Z420:AD420"/>
    <mergeCell ref="Z421:AD421"/>
    <mergeCell ref="Z422:AD422"/>
    <mergeCell ref="Z423:AD423"/>
    <mergeCell ref="Z424:AD424"/>
    <mergeCell ref="Z425:AD425"/>
    <mergeCell ref="Z426:AD426"/>
    <mergeCell ref="Z427:AD427"/>
    <mergeCell ref="Z428:AD428"/>
    <mergeCell ref="Z429:AD429"/>
    <mergeCell ref="Z432:AD432"/>
    <mergeCell ref="Z433:AD433"/>
    <mergeCell ref="Z434:AD434"/>
    <mergeCell ref="Z435:AD435"/>
    <mergeCell ref="AE418:AI418"/>
    <mergeCell ref="AE419:AI419"/>
    <mergeCell ref="AE420:AI420"/>
    <mergeCell ref="AE421:AI421"/>
    <mergeCell ref="AE422:AI422"/>
    <mergeCell ref="AE423:AI423"/>
    <mergeCell ref="AE424:AI424"/>
    <mergeCell ref="AE425:AI425"/>
    <mergeCell ref="AE426:AI426"/>
    <mergeCell ref="AE427:AI427"/>
    <mergeCell ref="AE428:AI428"/>
    <mergeCell ref="Z441:AD441"/>
    <mergeCell ref="Z437:AD437"/>
    <mergeCell ref="AO441:AS441"/>
    <mergeCell ref="AO437:AS437"/>
    <mergeCell ref="AJ418:AN418"/>
    <mergeCell ref="AJ419:AN419"/>
    <mergeCell ref="AJ420:AN420"/>
    <mergeCell ref="AJ421:AN421"/>
    <mergeCell ref="AJ422:AN422"/>
    <mergeCell ref="AJ423:AN423"/>
    <mergeCell ref="AJ424:AN424"/>
    <mergeCell ref="AJ425:AN425"/>
    <mergeCell ref="AJ426:AN426"/>
    <mergeCell ref="AJ427:AN427"/>
    <mergeCell ref="AJ428:AN428"/>
    <mergeCell ref="AJ429:AN429"/>
    <mergeCell ref="AJ432:AN432"/>
    <mergeCell ref="AJ433:AN433"/>
    <mergeCell ref="AJ434:AN434"/>
    <mergeCell ref="AJ435:AN435"/>
    <mergeCell ref="AJ436:AN436"/>
    <mergeCell ref="AJ440:AN440"/>
    <mergeCell ref="AJ441:AN441"/>
    <mergeCell ref="AJ437:AN437"/>
    <mergeCell ref="AO425:AS425"/>
    <mergeCell ref="AO426:AS426"/>
    <mergeCell ref="AO427:AS427"/>
    <mergeCell ref="AO428:AS428"/>
    <mergeCell ref="AO429:AS429"/>
    <mergeCell ref="AO432:AS432"/>
    <mergeCell ref="I314:N314"/>
    <mergeCell ref="I316:N316"/>
    <mergeCell ref="I317:N317"/>
    <mergeCell ref="I322:N322"/>
    <mergeCell ref="O311:T311"/>
    <mergeCell ref="O312:T312"/>
    <mergeCell ref="O313:T313"/>
    <mergeCell ref="O314:T314"/>
    <mergeCell ref="O316:T316"/>
    <mergeCell ref="O317:T317"/>
    <mergeCell ref="O322:T322"/>
    <mergeCell ref="U311:Z311"/>
    <mergeCell ref="U312:Z312"/>
    <mergeCell ref="U313:Z313"/>
    <mergeCell ref="U314:Z314"/>
    <mergeCell ref="AG311:AL311"/>
    <mergeCell ref="AG312:AL312"/>
    <mergeCell ref="AG313:AL313"/>
    <mergeCell ref="AG314:AL314"/>
    <mergeCell ref="AG315:AL315"/>
    <mergeCell ref="AG316:AL316"/>
    <mergeCell ref="AG317:AL317"/>
    <mergeCell ref="AG318:AL318"/>
    <mergeCell ref="AG319:AL319"/>
    <mergeCell ref="AG320:AL320"/>
    <mergeCell ref="J341:T341"/>
    <mergeCell ref="U341:AG341"/>
    <mergeCell ref="AH341:AS341"/>
    <mergeCell ref="C331:AM331"/>
    <mergeCell ref="AN331:AS331"/>
    <mergeCell ref="J336:T336"/>
    <mergeCell ref="U336:AG336"/>
    <mergeCell ref="AH336:AS336"/>
    <mergeCell ref="C337:I337"/>
    <mergeCell ref="J337:T337"/>
    <mergeCell ref="U337:AG337"/>
    <mergeCell ref="C318:H318"/>
    <mergeCell ref="C319:H319"/>
    <mergeCell ref="AO433:AS433"/>
    <mergeCell ref="AO434:AS434"/>
    <mergeCell ref="AO435:AS435"/>
    <mergeCell ref="AO436:AS436"/>
    <mergeCell ref="AM323:AS323"/>
    <mergeCell ref="AE432:AI432"/>
    <mergeCell ref="AE433:AI433"/>
    <mergeCell ref="AE434:AI434"/>
    <mergeCell ref="AE435:AI435"/>
    <mergeCell ref="AE436:AI436"/>
    <mergeCell ref="U418:Y418"/>
    <mergeCell ref="U419:Y419"/>
    <mergeCell ref="U420:Y420"/>
    <mergeCell ref="U421:Y421"/>
    <mergeCell ref="U422:Y422"/>
    <mergeCell ref="U423:Y423"/>
    <mergeCell ref="U424:Y424"/>
    <mergeCell ref="U425:Y425"/>
    <mergeCell ref="U426:Y426"/>
    <mergeCell ref="AM311:AS311"/>
    <mergeCell ref="AM312:AS312"/>
    <mergeCell ref="AM313:AS313"/>
    <mergeCell ref="AM314:AS314"/>
    <mergeCell ref="AM315:AS315"/>
    <mergeCell ref="AM316:AS316"/>
    <mergeCell ref="AM317:AS317"/>
    <mergeCell ref="AM318:AS318"/>
    <mergeCell ref="AM319:AS319"/>
    <mergeCell ref="AM320:AS320"/>
    <mergeCell ref="AM321:AS321"/>
    <mergeCell ref="AM322:AS322"/>
    <mergeCell ref="U320:Z320"/>
    <mergeCell ref="U321:Z321"/>
    <mergeCell ref="U322:Z322"/>
    <mergeCell ref="U323:Z323"/>
    <mergeCell ref="AG321:AL321"/>
    <mergeCell ref="AG322:AL322"/>
    <mergeCell ref="C320:H320"/>
    <mergeCell ref="C321:H321"/>
    <mergeCell ref="C322:H322"/>
    <mergeCell ref="C323:H323"/>
    <mergeCell ref="AG310:AS310"/>
    <mergeCell ref="U310:AF310"/>
    <mergeCell ref="I310:T310"/>
    <mergeCell ref="AA311:AF311"/>
    <mergeCell ref="AA312:AF312"/>
    <mergeCell ref="AA313:AF313"/>
    <mergeCell ref="AA314:AF314"/>
    <mergeCell ref="AA315:AF315"/>
    <mergeCell ref="AA316:AF316"/>
    <mergeCell ref="AA317:AF317"/>
    <mergeCell ref="AA318:AF318"/>
    <mergeCell ref="AA319:AF319"/>
    <mergeCell ref="AA320:AF320"/>
    <mergeCell ref="AA321:AF321"/>
    <mergeCell ref="AA322:AF322"/>
    <mergeCell ref="AA323:AF323"/>
    <mergeCell ref="I315:N315"/>
    <mergeCell ref="O315:T315"/>
    <mergeCell ref="AG323:AL323"/>
    <mergeCell ref="I311:N311"/>
    <mergeCell ref="I312:N312"/>
    <mergeCell ref="I313:N313"/>
    <mergeCell ref="C312:H312"/>
    <mergeCell ref="C313:H313"/>
    <mergeCell ref="C314:H314"/>
    <mergeCell ref="C315:H315"/>
    <mergeCell ref="C316:H316"/>
    <mergeCell ref="C317:H317"/>
    <mergeCell ref="P289:U289"/>
    <mergeCell ref="V277:AA277"/>
    <mergeCell ref="V278:AA278"/>
    <mergeCell ref="V279:AA279"/>
    <mergeCell ref="V280:AA280"/>
    <mergeCell ref="V282:AA282"/>
    <mergeCell ref="V284:AA284"/>
    <mergeCell ref="V285:AA285"/>
    <mergeCell ref="AB277:AG277"/>
    <mergeCell ref="AB278:AG278"/>
    <mergeCell ref="AB279:AG279"/>
    <mergeCell ref="AB280:AG280"/>
    <mergeCell ref="AB281:AG281"/>
    <mergeCell ref="AB282:AG282"/>
    <mergeCell ref="C270:AS270"/>
    <mergeCell ref="C289:I289"/>
    <mergeCell ref="J289:O289"/>
    <mergeCell ref="V289:AA289"/>
    <mergeCell ref="AH289:AM289"/>
    <mergeCell ref="C285:I285"/>
    <mergeCell ref="P285:U285"/>
    <mergeCell ref="AN285:AS285"/>
    <mergeCell ref="C284:I284"/>
    <mergeCell ref="C283:I283"/>
    <mergeCell ref="J283:O283"/>
    <mergeCell ref="P283:U283"/>
    <mergeCell ref="V283:AA283"/>
    <mergeCell ref="AH283:AM283"/>
    <mergeCell ref="J285:O285"/>
    <mergeCell ref="P277:U277"/>
    <mergeCell ref="P278:U278"/>
    <mergeCell ref="P279:U279"/>
    <mergeCell ref="P287:U287"/>
    <mergeCell ref="P288:U288"/>
    <mergeCell ref="AH277:AM277"/>
    <mergeCell ref="AH278:AM278"/>
    <mergeCell ref="AH279:AM279"/>
    <mergeCell ref="C267:AM267"/>
    <mergeCell ref="AN267:AS267"/>
    <mergeCell ref="C268:AM268"/>
    <mergeCell ref="AN268:AS268"/>
    <mergeCell ref="C238:H240"/>
    <mergeCell ref="I238:N238"/>
    <mergeCell ref="I242:N242"/>
    <mergeCell ref="U242:AG242"/>
    <mergeCell ref="I243:N243"/>
    <mergeCell ref="U243:AG243"/>
    <mergeCell ref="AN241:AS241"/>
    <mergeCell ref="AN242:AS242"/>
    <mergeCell ref="AN243:AS243"/>
    <mergeCell ref="U250:AG250"/>
    <mergeCell ref="AH250:AM250"/>
    <mergeCell ref="AN250:AS250"/>
    <mergeCell ref="AN253:AS253"/>
    <mergeCell ref="AN254:AS254"/>
    <mergeCell ref="AN255:AS255"/>
    <mergeCell ref="C286:I286"/>
    <mergeCell ref="J286:O286"/>
    <mergeCell ref="V286:AA286"/>
    <mergeCell ref="U245:AG245"/>
    <mergeCell ref="AH245:AM245"/>
    <mergeCell ref="AN245:AS245"/>
    <mergeCell ref="I246:N246"/>
    <mergeCell ref="U246:AG246"/>
    <mergeCell ref="I231:N231"/>
    <mergeCell ref="U231:AG231"/>
    <mergeCell ref="I228:N228"/>
    <mergeCell ref="U228:AG228"/>
    <mergeCell ref="C229:H231"/>
    <mergeCell ref="I229:N229"/>
    <mergeCell ref="O229:T231"/>
    <mergeCell ref="U229:AG229"/>
    <mergeCell ref="AH243:AM243"/>
    <mergeCell ref="U232:AG232"/>
    <mergeCell ref="I233:N233"/>
    <mergeCell ref="U233:AG233"/>
    <mergeCell ref="O241:T243"/>
    <mergeCell ref="C217:H219"/>
    <mergeCell ref="I217:N217"/>
    <mergeCell ref="O217:T219"/>
    <mergeCell ref="U217:AG217"/>
    <mergeCell ref="AH217:AM217"/>
    <mergeCell ref="AH238:AM238"/>
    <mergeCell ref="AH239:AM239"/>
    <mergeCell ref="AH240:AM240"/>
    <mergeCell ref="AH241:AM241"/>
    <mergeCell ref="AH242:AM242"/>
    <mergeCell ref="AH226:AM226"/>
    <mergeCell ref="AH227:AM227"/>
    <mergeCell ref="AH228:AM228"/>
    <mergeCell ref="AH229:AM229"/>
    <mergeCell ref="AH230:AM230"/>
    <mergeCell ref="AH231:AM231"/>
    <mergeCell ref="AH232:AM232"/>
    <mergeCell ref="AH233:AM233"/>
    <mergeCell ref="AH234:AM234"/>
    <mergeCell ref="AN217:AS217"/>
    <mergeCell ref="I218:N218"/>
    <mergeCell ref="U218:AG218"/>
    <mergeCell ref="AH218:AM218"/>
    <mergeCell ref="AN218:AS218"/>
    <mergeCell ref="I219:N219"/>
    <mergeCell ref="U219:AG219"/>
    <mergeCell ref="AH219:AM219"/>
    <mergeCell ref="AN219:AS219"/>
    <mergeCell ref="AH249:AM249"/>
    <mergeCell ref="AN249:AS249"/>
    <mergeCell ref="C250:H252"/>
    <mergeCell ref="I250:N250"/>
    <mergeCell ref="O250:T252"/>
    <mergeCell ref="I251:N251"/>
    <mergeCell ref="U251:AG251"/>
    <mergeCell ref="AH251:AM251"/>
    <mergeCell ref="AN251:AS251"/>
    <mergeCell ref="I252:N252"/>
    <mergeCell ref="U252:AG252"/>
    <mergeCell ref="AH252:AM252"/>
    <mergeCell ref="AN252:AS252"/>
    <mergeCell ref="C223:H225"/>
    <mergeCell ref="I223:N223"/>
    <mergeCell ref="O223:T225"/>
    <mergeCell ref="U223:AG223"/>
    <mergeCell ref="AH223:AM223"/>
    <mergeCell ref="AN224:AS224"/>
    <mergeCell ref="I225:N225"/>
    <mergeCell ref="U225:AG225"/>
    <mergeCell ref="AH225:AM225"/>
    <mergeCell ref="AN225:AS225"/>
    <mergeCell ref="AH246:AM246"/>
    <mergeCell ref="AN246:AS246"/>
    <mergeCell ref="C247:H249"/>
    <mergeCell ref="I247:N247"/>
    <mergeCell ref="O247:T249"/>
    <mergeCell ref="U247:AG247"/>
    <mergeCell ref="AH247:AM247"/>
    <mergeCell ref="AN247:AS247"/>
    <mergeCell ref="I248:N248"/>
    <mergeCell ref="U248:AG248"/>
    <mergeCell ref="AH248:AM248"/>
    <mergeCell ref="AN248:AS248"/>
    <mergeCell ref="I249:N249"/>
    <mergeCell ref="U249:AG249"/>
    <mergeCell ref="O244:T246"/>
    <mergeCell ref="C244:H246"/>
    <mergeCell ref="I244:N244"/>
    <mergeCell ref="AN37:AO37"/>
    <mergeCell ref="AN38:AO38"/>
    <mergeCell ref="AN64:AO64"/>
    <mergeCell ref="AN46:AO46"/>
    <mergeCell ref="AN47:AO47"/>
    <mergeCell ref="AN48:AO48"/>
    <mergeCell ref="AN49:AO49"/>
    <mergeCell ref="AN50:AO50"/>
    <mergeCell ref="AN51:AO51"/>
    <mergeCell ref="AN53:AO53"/>
    <mergeCell ref="AN54:AO54"/>
    <mergeCell ref="AN55:AO55"/>
    <mergeCell ref="AN56:AO56"/>
    <mergeCell ref="AN57:AO57"/>
    <mergeCell ref="AN58:AO58"/>
    <mergeCell ref="AN59:AO59"/>
    <mergeCell ref="AN60:AO60"/>
    <mergeCell ref="AN61:AO61"/>
    <mergeCell ref="AN63:AO63"/>
    <mergeCell ref="AN43:AO43"/>
    <mergeCell ref="AN44:AO44"/>
    <mergeCell ref="AN45:AO45"/>
    <mergeCell ref="AN52:AO52"/>
    <mergeCell ref="AN4:AO4"/>
    <mergeCell ref="AN5:AO5"/>
    <mergeCell ref="AN6:AO6"/>
    <mergeCell ref="AN7:AO7"/>
    <mergeCell ref="AN8:AO8"/>
    <mergeCell ref="AN9:AO9"/>
    <mergeCell ref="AN10:AO10"/>
    <mergeCell ref="AN11:AO11"/>
    <mergeCell ref="AN13:AO13"/>
    <mergeCell ref="AN15:AO15"/>
    <mergeCell ref="AN16:AO16"/>
    <mergeCell ref="AN17:AO17"/>
    <mergeCell ref="AN18:AO18"/>
    <mergeCell ref="AN19:AO19"/>
    <mergeCell ref="AN20:AO20"/>
    <mergeCell ref="AN21:AO21"/>
    <mergeCell ref="AN12:AO12"/>
    <mergeCell ref="AN22:AO22"/>
    <mergeCell ref="AN23:AO23"/>
    <mergeCell ref="AN24:AO24"/>
    <mergeCell ref="AN25:AO25"/>
    <mergeCell ref="AN26:AO26"/>
    <mergeCell ref="AN27:AO27"/>
    <mergeCell ref="AN28:AO28"/>
    <mergeCell ref="AN29:AO29"/>
    <mergeCell ref="AN30:AO30"/>
    <mergeCell ref="AN31:AO31"/>
    <mergeCell ref="AN32:AO32"/>
    <mergeCell ref="AN34:AO34"/>
    <mergeCell ref="AN35:AO35"/>
    <mergeCell ref="AN36:AO36"/>
    <mergeCell ref="I245:N245"/>
    <mergeCell ref="AJ445:AN445"/>
    <mergeCell ref="AO445:AS445"/>
    <mergeCell ref="C399:L399"/>
    <mergeCell ref="M399:W399"/>
    <mergeCell ref="X399:AG399"/>
    <mergeCell ref="AH399:AS399"/>
    <mergeCell ref="M397:W397"/>
    <mergeCell ref="X397:AG397"/>
    <mergeCell ref="AH397:AS397"/>
    <mergeCell ref="C398:L398"/>
    <mergeCell ref="M398:W398"/>
    <mergeCell ref="X398:AG398"/>
    <mergeCell ref="AH398:AS398"/>
    <mergeCell ref="AN39:AO39"/>
    <mergeCell ref="AN40:AO40"/>
    <mergeCell ref="AN41:AO41"/>
    <mergeCell ref="AN42:AO42"/>
    <mergeCell ref="AN65:AO65"/>
    <mergeCell ref="AH216:AM216"/>
    <mergeCell ref="AN216:AS216"/>
    <mergeCell ref="AN66:AO66"/>
    <mergeCell ref="AN67:AO67"/>
    <mergeCell ref="AN68:AO68"/>
    <mergeCell ref="AN69:AO69"/>
    <mergeCell ref="AN70:AO70"/>
    <mergeCell ref="AN71:AO71"/>
    <mergeCell ref="AN72:AO72"/>
    <mergeCell ref="AN62:AO62"/>
    <mergeCell ref="M83:AG83"/>
    <mergeCell ref="C395:L395"/>
    <mergeCell ref="M395:W395"/>
    <mergeCell ref="X395:AG395"/>
    <mergeCell ref="AH395:AS395"/>
    <mergeCell ref="C396:L396"/>
    <mergeCell ref="M396:W396"/>
    <mergeCell ref="X396:AG396"/>
    <mergeCell ref="AH396:AS396"/>
    <mergeCell ref="C79:L80"/>
    <mergeCell ref="M79:AG80"/>
    <mergeCell ref="AH79:AS79"/>
    <mergeCell ref="AH80:AM80"/>
    <mergeCell ref="AN80:AS80"/>
    <mergeCell ref="C82:L82"/>
    <mergeCell ref="M82:AG82"/>
    <mergeCell ref="AH82:AM82"/>
    <mergeCell ref="AN82:AS82"/>
    <mergeCell ref="AN86:AS86"/>
    <mergeCell ref="AN81:AS81"/>
    <mergeCell ref="C83:L83"/>
    <mergeCell ref="C397:L397"/>
    <mergeCell ref="AN96:AS96"/>
    <mergeCell ref="C97:L97"/>
    <mergeCell ref="M97:AM97"/>
    <mergeCell ref="AN97:AS97"/>
    <mergeCell ref="C87:AS87"/>
    <mergeCell ref="C90:L90"/>
    <mergeCell ref="M90:AM90"/>
    <mergeCell ref="AN90:AS90"/>
    <mergeCell ref="C139:AM139"/>
    <mergeCell ref="C148:AS148"/>
    <mergeCell ref="C144:AS144"/>
    <mergeCell ref="AN99:AS99"/>
    <mergeCell ref="C96:L96"/>
    <mergeCell ref="M96:AM96"/>
    <mergeCell ref="AH235:AM235"/>
    <mergeCell ref="AH236:AM236"/>
    <mergeCell ref="AH237:AM237"/>
    <mergeCell ref="O232:T234"/>
    <mergeCell ref="U241:AG241"/>
    <mergeCell ref="U244:AG244"/>
    <mergeCell ref="AH244:AM244"/>
    <mergeCell ref="AN244:AS244"/>
    <mergeCell ref="AN390:AS390"/>
    <mergeCell ref="AL386:AO386"/>
    <mergeCell ref="AL387:AO387"/>
    <mergeCell ref="AP385:AS385"/>
    <mergeCell ref="AP386:AS386"/>
    <mergeCell ref="AP387:AS387"/>
    <mergeCell ref="AH390:AM390"/>
    <mergeCell ref="AN391:AS391"/>
    <mergeCell ref="AN392:AS392"/>
    <mergeCell ref="AN83:AS83"/>
    <mergeCell ref="C98:L98"/>
    <mergeCell ref="M98:AM98"/>
    <mergeCell ref="AN98:AS98"/>
    <mergeCell ref="C99:L99"/>
    <mergeCell ref="M99:AM99"/>
    <mergeCell ref="C84:L84"/>
    <mergeCell ref="AN84:AS84"/>
    <mergeCell ref="C85:L85"/>
    <mergeCell ref="AN85:AS85"/>
    <mergeCell ref="C81:L81"/>
    <mergeCell ref="C93:L93"/>
    <mergeCell ref="M93:AM93"/>
    <mergeCell ref="AN93:AS93"/>
    <mergeCell ref="C91:L91"/>
    <mergeCell ref="M91:AM91"/>
    <mergeCell ref="AN91:AS91"/>
    <mergeCell ref="C92:L92"/>
    <mergeCell ref="M81:AG81"/>
    <mergeCell ref="M92:AM92"/>
    <mergeCell ref="AN92:AS92"/>
    <mergeCell ref="C86:L86"/>
    <mergeCell ref="M84:AG84"/>
    <mergeCell ref="M85:AG85"/>
    <mergeCell ref="M86:AG86"/>
    <mergeCell ref="AH81:AM81"/>
    <mergeCell ref="AH83:AM83"/>
    <mergeCell ref="AH84:AM84"/>
    <mergeCell ref="AH85:AM85"/>
    <mergeCell ref="AH86:AM86"/>
    <mergeCell ref="A97:A102"/>
    <mergeCell ref="C89:AS89"/>
    <mergeCell ref="AN533:AS533"/>
    <mergeCell ref="AK1124:AM1124"/>
    <mergeCell ref="Z1521:AD1521"/>
    <mergeCell ref="AE1521:AM1521"/>
    <mergeCell ref="AN1530:AS1530"/>
    <mergeCell ref="AN1529:AS1529"/>
    <mergeCell ref="AN1528:AS1528"/>
    <mergeCell ref="C1526:Y1526"/>
    <mergeCell ref="C1517:Y1517"/>
    <mergeCell ref="C1516:Y1516"/>
    <mergeCell ref="C1518:Y1518"/>
    <mergeCell ref="Z1503:AD1503"/>
    <mergeCell ref="Z1500:AD1500"/>
    <mergeCell ref="Z1505:AD1505"/>
    <mergeCell ref="Z1504:AD1504"/>
    <mergeCell ref="Z1501:AD1501"/>
    <mergeCell ref="C1500:Y1500"/>
    <mergeCell ref="C1505:Y1505"/>
    <mergeCell ref="C1504:Y1504"/>
    <mergeCell ref="C1501:Y1501"/>
    <mergeCell ref="C1509:Y1509"/>
    <mergeCell ref="C1508:Y1508"/>
    <mergeCell ref="C1507:Y1507"/>
    <mergeCell ref="Z1508:AD1508"/>
    <mergeCell ref="Z1516:AD1516"/>
    <mergeCell ref="Z1515:AD1515"/>
    <mergeCell ref="C1520:Y1520"/>
    <mergeCell ref="C1519:Y1519"/>
    <mergeCell ref="Z1518:AD1518"/>
    <mergeCell ref="AE1530:AM1530"/>
    <mergeCell ref="AN1527:AS1527"/>
    <mergeCell ref="AN1526:AS1526"/>
    <mergeCell ref="C1524:Y1524"/>
    <mergeCell ref="C1523:Y1523"/>
    <mergeCell ref="C1522:Y1522"/>
    <mergeCell ref="Z1525:AD1525"/>
    <mergeCell ref="Z1502:AD1502"/>
    <mergeCell ref="Z1524:AD1524"/>
    <mergeCell ref="Z1523:AD1523"/>
    <mergeCell ref="Z1522:AD1522"/>
    <mergeCell ref="Z1497:AD1497"/>
    <mergeCell ref="Z1496:AD1496"/>
    <mergeCell ref="Z1530:AD1530"/>
    <mergeCell ref="Z1529:AD1529"/>
    <mergeCell ref="Z1528:AD1528"/>
    <mergeCell ref="Z1527:AD1527"/>
    <mergeCell ref="Z1526:AD1526"/>
    <mergeCell ref="C1503:Y1503"/>
    <mergeCell ref="C1498:Y1498"/>
    <mergeCell ref="Z1498:AD1498"/>
    <mergeCell ref="C1515:Y1515"/>
    <mergeCell ref="C1525:Y1525"/>
    <mergeCell ref="C1502:Y1502"/>
    <mergeCell ref="Z1514:AD1514"/>
    <mergeCell ref="Z1513:AD1513"/>
    <mergeCell ref="Z1512:AD1512"/>
    <mergeCell ref="Z1520:AD1520"/>
    <mergeCell ref="AE1524:AM1524"/>
    <mergeCell ref="C1530:Y1530"/>
    <mergeCell ref="C1529:Y1529"/>
    <mergeCell ref="C1528:Y1528"/>
    <mergeCell ref="C1527:Y1527"/>
    <mergeCell ref="Z1517:AD1517"/>
    <mergeCell ref="AE1511:AM1511"/>
    <mergeCell ref="AE1510:AM1510"/>
    <mergeCell ref="AE1514:AM1514"/>
    <mergeCell ref="AE1513:AM1513"/>
    <mergeCell ref="AE1512:AM1512"/>
    <mergeCell ref="AE1520:AM1520"/>
    <mergeCell ref="AE1519:AM1519"/>
    <mergeCell ref="C1481:L1482"/>
    <mergeCell ref="M1481:AD1482"/>
    <mergeCell ref="AE1481:AM1481"/>
    <mergeCell ref="C1506:Y1506"/>
    <mergeCell ref="C1511:Y1511"/>
    <mergeCell ref="C1510:Y1510"/>
    <mergeCell ref="C1514:Y1514"/>
    <mergeCell ref="C1513:Y1513"/>
    <mergeCell ref="C1521:Y1521"/>
    <mergeCell ref="C1485:L1485"/>
    <mergeCell ref="M1485:AD1485"/>
    <mergeCell ref="AE1485:AM1485"/>
    <mergeCell ref="AE1498:AM1498"/>
    <mergeCell ref="Z1507:AD1507"/>
    <mergeCell ref="Z1519:AD1519"/>
    <mergeCell ref="AE1525:AM1525"/>
    <mergeCell ref="AE1502:AM1502"/>
    <mergeCell ref="AE1523:AM1523"/>
    <mergeCell ref="AE1522:AM1522"/>
    <mergeCell ref="AE1529:AM1529"/>
    <mergeCell ref="AE1528:AM1528"/>
    <mergeCell ref="AE1527:AM1527"/>
    <mergeCell ref="AE1526:AM1526"/>
    <mergeCell ref="AN1525:AS1525"/>
    <mergeCell ref="AN1502:AS1502"/>
    <mergeCell ref="AN1524:AS1524"/>
    <mergeCell ref="AN1523:AS1523"/>
    <mergeCell ref="AN1522:AS1522"/>
    <mergeCell ref="C1431:AS1431"/>
    <mergeCell ref="C59:AM59"/>
    <mergeCell ref="C60:AM60"/>
    <mergeCell ref="C61:AM61"/>
    <mergeCell ref="C62:AM62"/>
    <mergeCell ref="C1493:AM1493"/>
    <mergeCell ref="AN1503:AS1503"/>
    <mergeCell ref="AN1500:AS1500"/>
    <mergeCell ref="AN1505:AS1505"/>
    <mergeCell ref="AN1504:AS1504"/>
    <mergeCell ref="AN1501:AS1501"/>
    <mergeCell ref="AN1509:AS1509"/>
    <mergeCell ref="AN1508:AS1508"/>
    <mergeCell ref="AN1507:AS1507"/>
    <mergeCell ref="AN1495:AS1495"/>
    <mergeCell ref="AN1497:AS1497"/>
    <mergeCell ref="AN1496:AS1496"/>
    <mergeCell ref="Z1511:AD1511"/>
    <mergeCell ref="Z1510:AD1510"/>
    <mergeCell ref="C1461:L1463"/>
    <mergeCell ref="M1461:AD1463"/>
    <mergeCell ref="AE1461:AM1461"/>
    <mergeCell ref="AE1490:AM1490"/>
    <mergeCell ref="AN1482:AS1482"/>
    <mergeCell ref="AN1471:AS1471"/>
    <mergeCell ref="AN1478:AS1478"/>
    <mergeCell ref="C1489:AS1489"/>
    <mergeCell ref="C1473:L1474"/>
    <mergeCell ref="M1473:AD1474"/>
    <mergeCell ref="AN1485:AS1485"/>
    <mergeCell ref="AN1519:AS1519"/>
    <mergeCell ref="AN1518:AS1518"/>
    <mergeCell ref="AN1517:AS1517"/>
    <mergeCell ref="AN1516:AS1516"/>
    <mergeCell ref="AE1518:AM1518"/>
    <mergeCell ref="AE1517:AM1517"/>
    <mergeCell ref="AE1516:AM1516"/>
    <mergeCell ref="AE1515:AM1515"/>
    <mergeCell ref="C1486:AS1486"/>
    <mergeCell ref="AN1461:AS1461"/>
    <mergeCell ref="AE1462:AM1462"/>
    <mergeCell ref="AN1462:AS1462"/>
    <mergeCell ref="AE1463:AM1463"/>
    <mergeCell ref="AN1463:AS1463"/>
    <mergeCell ref="M1472:AD1472"/>
    <mergeCell ref="AE1472:AM1472"/>
    <mergeCell ref="AN1472:AS1472"/>
    <mergeCell ref="AE1469:AM1469"/>
    <mergeCell ref="AN1469:AS1469"/>
    <mergeCell ref="M1470:AD1470"/>
    <mergeCell ref="AE1470:AM1470"/>
    <mergeCell ref="C1491:L1491"/>
    <mergeCell ref="M1491:AD1491"/>
    <mergeCell ref="AE1491:AM1491"/>
    <mergeCell ref="AN1491:AS1491"/>
    <mergeCell ref="C1536:L1536"/>
    <mergeCell ref="M1536:AM1536"/>
    <mergeCell ref="AN1536:AS1536"/>
    <mergeCell ref="C1488:L1488"/>
    <mergeCell ref="M1488:AD1488"/>
    <mergeCell ref="AE1488:AM1488"/>
    <mergeCell ref="AN1488:AS1488"/>
    <mergeCell ref="C1466:L1466"/>
    <mergeCell ref="M1466:AD1466"/>
    <mergeCell ref="AE1466:AM1466"/>
    <mergeCell ref="C1475:AS1475"/>
    <mergeCell ref="AN1466:AS1466"/>
    <mergeCell ref="C1467:AU1467"/>
    <mergeCell ref="C1468:L1472"/>
    <mergeCell ref="M1468:AD1468"/>
    <mergeCell ref="AE1468:AM1468"/>
    <mergeCell ref="AN1468:AS1468"/>
    <mergeCell ref="M1469:AD1469"/>
    <mergeCell ref="AN1470:AS1470"/>
    <mergeCell ref="M1471:AD1471"/>
    <mergeCell ref="AE1471:AM1471"/>
    <mergeCell ref="AE1501:AM1501"/>
    <mergeCell ref="C1495:Y1495"/>
    <mergeCell ref="C1512:Y1512"/>
    <mergeCell ref="Z1495:AD1495"/>
    <mergeCell ref="AE1495:AM1495"/>
    <mergeCell ref="Z1509:AD1509"/>
    <mergeCell ref="AE1503:AM1503"/>
    <mergeCell ref="C1544:L1544"/>
    <mergeCell ref="M1544:AD1544"/>
    <mergeCell ref="AE1544:AM1544"/>
    <mergeCell ref="M1446:AD1448"/>
    <mergeCell ref="AE1508:AM1508"/>
    <mergeCell ref="C1490:L1490"/>
    <mergeCell ref="M1490:AD1490"/>
    <mergeCell ref="AN1544:AS1544"/>
    <mergeCell ref="C1545:AS1545"/>
    <mergeCell ref="M1548:AD1548"/>
    <mergeCell ref="AN1552:AS1552"/>
    <mergeCell ref="M1553:AD1553"/>
    <mergeCell ref="AE1446:AM1446"/>
    <mergeCell ref="AN1446:AS1446"/>
    <mergeCell ref="AE1447:AM1447"/>
    <mergeCell ref="AN1447:AS1447"/>
    <mergeCell ref="AE1448:AM1448"/>
    <mergeCell ref="AN1448:AS1448"/>
    <mergeCell ref="C1449:AS1449"/>
    <mergeCell ref="C1446:L1448"/>
    <mergeCell ref="C1458:L1460"/>
    <mergeCell ref="M1458:AD1460"/>
    <mergeCell ref="AE1458:AM1458"/>
    <mergeCell ref="M1477:AD1477"/>
    <mergeCell ref="AN1520:AS1520"/>
    <mergeCell ref="AN1537:AS1537"/>
    <mergeCell ref="AN1538:AS1538"/>
    <mergeCell ref="AN1540:AS1540"/>
    <mergeCell ref="AN1541:AS1541"/>
    <mergeCell ref="AE1477:AM1477"/>
    <mergeCell ref="AN1477:AS1477"/>
    <mergeCell ref="M1478:AD1478"/>
    <mergeCell ref="AN1553:AS1553"/>
    <mergeCell ref="M1551:AD1551"/>
    <mergeCell ref="AN1551:AS1551"/>
    <mergeCell ref="M1554:AD1554"/>
    <mergeCell ref="AN1554:AS1554"/>
    <mergeCell ref="M1555:AD1555"/>
    <mergeCell ref="C1539:L1539"/>
    <mergeCell ref="M1539:AM1539"/>
    <mergeCell ref="AN1539:AS1539"/>
    <mergeCell ref="C1540:L1540"/>
    <mergeCell ref="M1540:AM1540"/>
    <mergeCell ref="C1537:L1537"/>
    <mergeCell ref="M1537:AM1537"/>
    <mergeCell ref="C1538:L1538"/>
    <mergeCell ref="M1538:AM1538"/>
    <mergeCell ref="M1541:AM1541"/>
    <mergeCell ref="C1541:L1541"/>
    <mergeCell ref="AN1555:AS1555"/>
    <mergeCell ref="AN1548:AS1548"/>
    <mergeCell ref="C1549:AS1549"/>
    <mergeCell ref="C1550:L1555"/>
    <mergeCell ref="M1550:AD1550"/>
    <mergeCell ref="AE1550:AM1555"/>
    <mergeCell ref="AN1550:AS1550"/>
    <mergeCell ref="M1552:AD1552"/>
    <mergeCell ref="C1546:L1548"/>
    <mergeCell ref="AE1546:AM1548"/>
    <mergeCell ref="M1546:AD1546"/>
    <mergeCell ref="AN1546:AS1546"/>
    <mergeCell ref="M1547:AD1547"/>
    <mergeCell ref="AN1547:AS1547"/>
    <mergeCell ref="C1543:AS1543"/>
    <mergeCell ref="AN1521:AS1521"/>
    <mergeCell ref="AE1507:AM1507"/>
    <mergeCell ref="AE1506:AM1506"/>
    <mergeCell ref="AN1481:AS1481"/>
    <mergeCell ref="M1479:AD1479"/>
    <mergeCell ref="AE1479:AM1479"/>
    <mergeCell ref="AN1479:AS1479"/>
    <mergeCell ref="M1480:AD1480"/>
    <mergeCell ref="AN1513:AS1513"/>
    <mergeCell ref="AN1480:AS1480"/>
    <mergeCell ref="C1476:L1480"/>
    <mergeCell ref="M1476:AD1476"/>
    <mergeCell ref="AE1476:AM1476"/>
    <mergeCell ref="AN1476:AS1476"/>
    <mergeCell ref="C1487:L1487"/>
    <mergeCell ref="M1487:AD1487"/>
    <mergeCell ref="AE1487:AM1487"/>
    <mergeCell ref="AN1487:AS1487"/>
    <mergeCell ref="AE1480:AM1480"/>
    <mergeCell ref="AN1515:AS1515"/>
    <mergeCell ref="AN1490:AS1490"/>
    <mergeCell ref="AE1482:AM1482"/>
    <mergeCell ref="AN1506:AS1506"/>
    <mergeCell ref="AN1511:AS1511"/>
    <mergeCell ref="AE1509:AM1509"/>
    <mergeCell ref="Z1506:AD1506"/>
    <mergeCell ref="C1497:Y1497"/>
    <mergeCell ref="C1496:Y1496"/>
    <mergeCell ref="AE1497:AM1497"/>
    <mergeCell ref="AE1496:AM1496"/>
    <mergeCell ref="C1499:Y1499"/>
    <mergeCell ref="Z1499:AD1499"/>
    <mergeCell ref="AN1510:AS1510"/>
    <mergeCell ref="AN1512:AS1512"/>
    <mergeCell ref="AN1514:AS1514"/>
    <mergeCell ref="AN1498:AS1498"/>
    <mergeCell ref="AE1499:AM1499"/>
    <mergeCell ref="AN1499:AS1499"/>
    <mergeCell ref="AE1500:AM1500"/>
    <mergeCell ref="AE1505:AM1505"/>
    <mergeCell ref="AE1504:AM1504"/>
    <mergeCell ref="AN1473:AS1473"/>
    <mergeCell ref="AN1458:AS1458"/>
    <mergeCell ref="AE1459:AM1459"/>
    <mergeCell ref="AN1459:AS1459"/>
    <mergeCell ref="AE1460:AM1460"/>
    <mergeCell ref="AN1460:AS1460"/>
    <mergeCell ref="AN1453:AS1453"/>
    <mergeCell ref="AE1454:AM1454"/>
    <mergeCell ref="AN1454:AS1454"/>
    <mergeCell ref="AE1473:AM1473"/>
    <mergeCell ref="AE1474:AM1474"/>
    <mergeCell ref="AN1474:AS1474"/>
    <mergeCell ref="AE1478:AM1478"/>
    <mergeCell ref="C1455:L1457"/>
    <mergeCell ref="M1455:AD1457"/>
    <mergeCell ref="AE1455:AM1455"/>
    <mergeCell ref="AN1455:AS1455"/>
    <mergeCell ref="AE1456:AM1456"/>
    <mergeCell ref="AN1456:AS1456"/>
    <mergeCell ref="AE1457:AM1457"/>
    <mergeCell ref="C1450:L1454"/>
    <mergeCell ref="M1450:AD1454"/>
    <mergeCell ref="AE1450:AM1450"/>
    <mergeCell ref="AN1450:AS1450"/>
    <mergeCell ref="AE1451:AM1451"/>
    <mergeCell ref="AN1451:AS1451"/>
    <mergeCell ref="AE1452:AM1452"/>
    <mergeCell ref="AN1452:AS1452"/>
    <mergeCell ref="AE1453:AM1453"/>
    <mergeCell ref="AN1457:AS1457"/>
    <mergeCell ref="C1443:L1445"/>
    <mergeCell ref="M1443:AD1445"/>
    <mergeCell ref="AE1443:AM1443"/>
    <mergeCell ref="AN1443:AS1443"/>
    <mergeCell ref="AE1444:AM1444"/>
    <mergeCell ref="AN1444:AS1444"/>
    <mergeCell ref="AE1445:AM1445"/>
    <mergeCell ref="AN1445:AS1445"/>
    <mergeCell ref="AE1439:AM1439"/>
    <mergeCell ref="AN1439:AS1439"/>
    <mergeCell ref="C1440:L1442"/>
    <mergeCell ref="M1440:AD1442"/>
    <mergeCell ref="AE1440:AM1440"/>
    <mergeCell ref="AN1440:AS1440"/>
    <mergeCell ref="AE1441:AM1441"/>
    <mergeCell ref="AN1441:AS1441"/>
    <mergeCell ref="AH827:AS827"/>
    <mergeCell ref="AH828:AS828"/>
    <mergeCell ref="AN1065:AS1065"/>
    <mergeCell ref="AE1442:AM1442"/>
    <mergeCell ref="AN1442:AS1442"/>
    <mergeCell ref="AN1124:AS1124"/>
    <mergeCell ref="AN1063:AS1063"/>
    <mergeCell ref="Y1065:AA1065"/>
    <mergeCell ref="AH1070:AJ1070"/>
    <mergeCell ref="AK1070:AM1070"/>
    <mergeCell ref="AN1070:AS1070"/>
    <mergeCell ref="AH1071:AJ1071"/>
    <mergeCell ref="AK1071:AM1071"/>
    <mergeCell ref="AN1071:AS1071"/>
    <mergeCell ref="AH1064:AJ1064"/>
    <mergeCell ref="AK1064:AM1064"/>
    <mergeCell ref="AN534:AS534"/>
    <mergeCell ref="C859:AS859"/>
    <mergeCell ref="C1436:L1436"/>
    <mergeCell ref="M1436:AD1436"/>
    <mergeCell ref="AE1436:AM1436"/>
    <mergeCell ref="AN1436:AS1436"/>
    <mergeCell ref="C1437:L1439"/>
    <mergeCell ref="M1437:AD1439"/>
    <mergeCell ref="AE1437:AM1437"/>
    <mergeCell ref="AN1437:AS1437"/>
    <mergeCell ref="AE1438:AM1438"/>
    <mergeCell ref="AN1438:AS1438"/>
    <mergeCell ref="C1435:AU1435"/>
    <mergeCell ref="C816:AS816"/>
    <mergeCell ref="AH1155:AJ1155"/>
    <mergeCell ref="AK1155:AM1155"/>
    <mergeCell ref="C775:AM775"/>
    <mergeCell ref="AN775:AS775"/>
    <mergeCell ref="C776:AM776"/>
    <mergeCell ref="AH1065:AJ1065"/>
    <mergeCell ref="AH1068:AJ1068"/>
    <mergeCell ref="AK1068:AM1068"/>
    <mergeCell ref="AN1068:AS1068"/>
    <mergeCell ref="AK1065:AM1065"/>
    <mergeCell ref="AH1069:AJ1069"/>
    <mergeCell ref="AK1069:AM1069"/>
    <mergeCell ref="AN1069:AS1069"/>
    <mergeCell ref="C1065:D1065"/>
    <mergeCell ref="AE1065:AG1065"/>
    <mergeCell ref="C1409:AS1409"/>
    <mergeCell ref="AN803:AS803"/>
    <mergeCell ref="AN566:AS566"/>
    <mergeCell ref="AH535:AM535"/>
    <mergeCell ref="AH536:AM536"/>
    <mergeCell ref="AH537:AM537"/>
    <mergeCell ref="AH538:AM538"/>
    <mergeCell ref="AH539:AM539"/>
    <mergeCell ref="C532:U532"/>
    <mergeCell ref="C777:AM777"/>
    <mergeCell ref="C803:AM803"/>
    <mergeCell ref="AD524:AK524"/>
    <mergeCell ref="AD525:AK525"/>
    <mergeCell ref="AD526:AK526"/>
    <mergeCell ref="AD527:AK527"/>
    <mergeCell ref="AD520:AK520"/>
    <mergeCell ref="AD521:AK521"/>
    <mergeCell ref="AD522:AK522"/>
    <mergeCell ref="AD523:AK523"/>
    <mergeCell ref="Y536:AA536"/>
    <mergeCell ref="Y537:AA537"/>
    <mergeCell ref="AB536:AG536"/>
    <mergeCell ref="AB534:AG534"/>
    <mergeCell ref="C530:AS530"/>
    <mergeCell ref="V538:X538"/>
    <mergeCell ref="C533:U533"/>
    <mergeCell ref="C534:U534"/>
    <mergeCell ref="C535:U535"/>
    <mergeCell ref="C536:U536"/>
    <mergeCell ref="C537:U537"/>
    <mergeCell ref="C538:U538"/>
    <mergeCell ref="C539:U539"/>
    <mergeCell ref="AB537:AG537"/>
    <mergeCell ref="AN535:AS535"/>
    <mergeCell ref="AN536:AS536"/>
    <mergeCell ref="AE494:AI494"/>
    <mergeCell ref="AJ494:AN494"/>
    <mergeCell ref="AO494:AS494"/>
    <mergeCell ref="C495:K495"/>
    <mergeCell ref="L495:O495"/>
    <mergeCell ref="P495:T495"/>
    <mergeCell ref="U495:Y495"/>
    <mergeCell ref="Z495:AD495"/>
    <mergeCell ref="AE495:AI495"/>
    <mergeCell ref="AJ495:AN495"/>
    <mergeCell ref="AO495:AS495"/>
    <mergeCell ref="C496:K496"/>
    <mergeCell ref="L496:O496"/>
    <mergeCell ref="P496:T496"/>
    <mergeCell ref="U496:Y496"/>
    <mergeCell ref="Z496:AD496"/>
    <mergeCell ref="AE496:AI496"/>
    <mergeCell ref="AJ496:AN496"/>
    <mergeCell ref="AO496:AS496"/>
    <mergeCell ref="L488:O488"/>
    <mergeCell ref="P488:T488"/>
    <mergeCell ref="U488:Y488"/>
    <mergeCell ref="Z488:AD488"/>
    <mergeCell ref="AE488:AI488"/>
    <mergeCell ref="AJ488:AN488"/>
    <mergeCell ref="AO488:AS488"/>
    <mergeCell ref="C489:K489"/>
    <mergeCell ref="L489:O489"/>
    <mergeCell ref="P489:T489"/>
    <mergeCell ref="U489:Y489"/>
    <mergeCell ref="Z489:AD489"/>
    <mergeCell ref="AE489:AI489"/>
    <mergeCell ref="AJ489:AN489"/>
    <mergeCell ref="C490:K490"/>
    <mergeCell ref="L490:O490"/>
    <mergeCell ref="P490:T490"/>
    <mergeCell ref="U490:Y490"/>
    <mergeCell ref="Z490:AD490"/>
    <mergeCell ref="AE490:AI490"/>
    <mergeCell ref="AJ490:AN490"/>
    <mergeCell ref="AO490:AS490"/>
    <mergeCell ref="AO489:AS489"/>
    <mergeCell ref="C482:K482"/>
    <mergeCell ref="L482:O482"/>
    <mergeCell ref="P482:T482"/>
    <mergeCell ref="U482:Y482"/>
    <mergeCell ref="Z482:AD482"/>
    <mergeCell ref="AE482:AI482"/>
    <mergeCell ref="AJ482:AN482"/>
    <mergeCell ref="AO482:AS482"/>
    <mergeCell ref="C486:K486"/>
    <mergeCell ref="L486:O486"/>
    <mergeCell ref="P486:T486"/>
    <mergeCell ref="U486:Y486"/>
    <mergeCell ref="Z486:AD486"/>
    <mergeCell ref="AE486:AI486"/>
    <mergeCell ref="AJ486:AN486"/>
    <mergeCell ref="AO486:AS486"/>
    <mergeCell ref="C487:K487"/>
    <mergeCell ref="C483:K483"/>
    <mergeCell ref="AO487:AS487"/>
    <mergeCell ref="L487:O487"/>
    <mergeCell ref="P487:T487"/>
    <mergeCell ref="U487:Y487"/>
    <mergeCell ref="Z487:AD487"/>
    <mergeCell ref="AE487:AI487"/>
    <mergeCell ref="AJ487:AN487"/>
    <mergeCell ref="L483:O483"/>
    <mergeCell ref="P483:T483"/>
    <mergeCell ref="U483:Y483"/>
    <mergeCell ref="Z483:AD483"/>
    <mergeCell ref="AE483:AI483"/>
    <mergeCell ref="AJ483:AN483"/>
    <mergeCell ref="AO483:AS483"/>
    <mergeCell ref="C477:K477"/>
    <mergeCell ref="L477:O477"/>
    <mergeCell ref="P477:T477"/>
    <mergeCell ref="U477:Y477"/>
    <mergeCell ref="Z477:AD477"/>
    <mergeCell ref="AE477:AI477"/>
    <mergeCell ref="AJ477:AN477"/>
    <mergeCell ref="AO477:AS477"/>
    <mergeCell ref="C476:K476"/>
    <mergeCell ref="L476:O476"/>
    <mergeCell ref="P476:T476"/>
    <mergeCell ref="U476:Y476"/>
    <mergeCell ref="Z476:AD476"/>
    <mergeCell ref="AE476:AI476"/>
    <mergeCell ref="AJ476:AN476"/>
    <mergeCell ref="AO476:AS476"/>
    <mergeCell ref="C470:AS470"/>
    <mergeCell ref="C475:K475"/>
    <mergeCell ref="L475:O475"/>
    <mergeCell ref="P475:T475"/>
    <mergeCell ref="U475:Y475"/>
    <mergeCell ref="Z475:AD475"/>
    <mergeCell ref="AE475:AI475"/>
    <mergeCell ref="AJ475:AN475"/>
    <mergeCell ref="AO475:AS475"/>
    <mergeCell ref="C481:K481"/>
    <mergeCell ref="L481:O481"/>
    <mergeCell ref="P481:T481"/>
    <mergeCell ref="U481:Y481"/>
    <mergeCell ref="Z481:AD481"/>
    <mergeCell ref="AE481:AI481"/>
    <mergeCell ref="AJ481:AN481"/>
    <mergeCell ref="AO481:AS481"/>
    <mergeCell ref="C488:K488"/>
    <mergeCell ref="Z436:AD436"/>
    <mergeCell ref="Z440:AD440"/>
    <mergeCell ref="AO418:AS418"/>
    <mergeCell ref="AO419:AS419"/>
    <mergeCell ref="AO420:AS420"/>
    <mergeCell ref="AO421:AS421"/>
    <mergeCell ref="AO422:AS422"/>
    <mergeCell ref="AO423:AS423"/>
    <mergeCell ref="AO424:AS424"/>
    <mergeCell ref="C452:K452"/>
    <mergeCell ref="L452:O452"/>
    <mergeCell ref="P452:T452"/>
    <mergeCell ref="U452:Y452"/>
    <mergeCell ref="Z452:AD452"/>
    <mergeCell ref="AE452:AI452"/>
    <mergeCell ref="AJ452:AN452"/>
    <mergeCell ref="AE446:AI446"/>
    <mergeCell ref="AJ446:AN446"/>
    <mergeCell ref="AO446:AS446"/>
    <mergeCell ref="C447:K447"/>
    <mergeCell ref="L447:O447"/>
    <mergeCell ref="P447:T447"/>
    <mergeCell ref="U447:Y447"/>
    <mergeCell ref="Z447:AD447"/>
    <mergeCell ref="AE447:AI447"/>
    <mergeCell ref="AJ447:AN447"/>
    <mergeCell ref="AO447:AS447"/>
    <mergeCell ref="C448:K448"/>
    <mergeCell ref="L448:O448"/>
    <mergeCell ref="P448:T448"/>
    <mergeCell ref="U448:Y448"/>
    <mergeCell ref="AE429:AI429"/>
    <mergeCell ref="AE443:AI443"/>
    <mergeCell ref="AJ443:AN443"/>
    <mergeCell ref="AO443:AS443"/>
    <mergeCell ref="C444:K444"/>
    <mergeCell ref="L444:O444"/>
    <mergeCell ref="P444:T444"/>
    <mergeCell ref="U444:Y444"/>
    <mergeCell ref="Z444:AD444"/>
    <mergeCell ref="AE444:AI444"/>
    <mergeCell ref="AJ444:AN444"/>
    <mergeCell ref="AO444:AS444"/>
    <mergeCell ref="AO440:AS440"/>
    <mergeCell ref="C446:K446"/>
    <mergeCell ref="L446:O446"/>
    <mergeCell ref="P446:T446"/>
    <mergeCell ref="U446:Y446"/>
    <mergeCell ref="Z446:AD446"/>
    <mergeCell ref="C445:K445"/>
    <mergeCell ref="L445:O445"/>
    <mergeCell ref="P445:T445"/>
    <mergeCell ref="U445:Y445"/>
    <mergeCell ref="Z445:AD445"/>
    <mergeCell ref="AE445:AI445"/>
    <mergeCell ref="AH391:AM391"/>
    <mergeCell ref="AH392:AM392"/>
    <mergeCell ref="C394:AS394"/>
    <mergeCell ref="C385:I385"/>
    <mergeCell ref="C379:AM379"/>
    <mergeCell ref="AN379:AS379"/>
    <mergeCell ref="C380:AM380"/>
    <mergeCell ref="AN380:AS380"/>
    <mergeCell ref="C386:I386"/>
    <mergeCell ref="C387:I387"/>
    <mergeCell ref="AB391:AG391"/>
    <mergeCell ref="AB392:AG392"/>
    <mergeCell ref="AB390:AG390"/>
    <mergeCell ref="C390:I390"/>
    <mergeCell ref="J390:AA390"/>
    <mergeCell ref="C392:I392"/>
    <mergeCell ref="J392:AA392"/>
    <mergeCell ref="C391:I391"/>
    <mergeCell ref="J391:AA391"/>
    <mergeCell ref="J385:M385"/>
    <mergeCell ref="J386:M386"/>
    <mergeCell ref="J387:M387"/>
    <mergeCell ref="N385:Q385"/>
    <mergeCell ref="AD387:AG387"/>
    <mergeCell ref="AH385:AK385"/>
    <mergeCell ref="AH386:AK386"/>
    <mergeCell ref="AH387:AK387"/>
    <mergeCell ref="C359:AS359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AN376:AS376"/>
    <mergeCell ref="AN377:AS377"/>
    <mergeCell ref="AN375:AS375"/>
    <mergeCell ref="C371:G371"/>
    <mergeCell ref="C372:G372"/>
    <mergeCell ref="C373:G373"/>
    <mergeCell ref="C374:AS374"/>
    <mergeCell ref="AJ373:AS373"/>
    <mergeCell ref="AE367:AS367"/>
    <mergeCell ref="AE368:AS368"/>
    <mergeCell ref="AE369:AS369"/>
    <mergeCell ref="AE370:AS370"/>
    <mergeCell ref="AE371:AS371"/>
    <mergeCell ref="AE372:AS372"/>
    <mergeCell ref="Z373:AI373"/>
    <mergeCell ref="P373:Y373"/>
    <mergeCell ref="P360:AD360"/>
    <mergeCell ref="P361:AD361"/>
    <mergeCell ref="P362:AD362"/>
    <mergeCell ref="P363:AD363"/>
    <mergeCell ref="P364:AD364"/>
    <mergeCell ref="AB355:AD355"/>
    <mergeCell ref="AE355:AG355"/>
    <mergeCell ref="AH355:AJ355"/>
    <mergeCell ref="AK355:AM355"/>
    <mergeCell ref="AN355:AP355"/>
    <mergeCell ref="AQ355:AS355"/>
    <mergeCell ref="C355:L355"/>
    <mergeCell ref="M355:O355"/>
    <mergeCell ref="P355:R355"/>
    <mergeCell ref="S355:U355"/>
    <mergeCell ref="V355:X355"/>
    <mergeCell ref="Y355:AA355"/>
    <mergeCell ref="AB354:AD354"/>
    <mergeCell ref="AE354:AG354"/>
    <mergeCell ref="AH354:AJ354"/>
    <mergeCell ref="AK354:AM354"/>
    <mergeCell ref="AN354:AP354"/>
    <mergeCell ref="AQ354:AS354"/>
    <mergeCell ref="C354:L354"/>
    <mergeCell ref="M354:O354"/>
    <mergeCell ref="P354:R354"/>
    <mergeCell ref="S354:U354"/>
    <mergeCell ref="V354:X354"/>
    <mergeCell ref="Y354:AA354"/>
    <mergeCell ref="AB353:AD353"/>
    <mergeCell ref="AE353:AG353"/>
    <mergeCell ref="AH353:AJ353"/>
    <mergeCell ref="AK353:AM353"/>
    <mergeCell ref="AN353:AP353"/>
    <mergeCell ref="AQ353:AS353"/>
    <mergeCell ref="C353:L353"/>
    <mergeCell ref="M353:O353"/>
    <mergeCell ref="P353:R353"/>
    <mergeCell ref="S353:U353"/>
    <mergeCell ref="V353:X353"/>
    <mergeCell ref="Y353:AA353"/>
    <mergeCell ref="AB352:AD352"/>
    <mergeCell ref="AE352:AG352"/>
    <mergeCell ref="AH352:AJ352"/>
    <mergeCell ref="AK352:AM352"/>
    <mergeCell ref="AN352:AP352"/>
    <mergeCell ref="AQ352:AS352"/>
    <mergeCell ref="C352:L352"/>
    <mergeCell ref="M352:O352"/>
    <mergeCell ref="P352:R352"/>
    <mergeCell ref="S352:U352"/>
    <mergeCell ref="V352:X352"/>
    <mergeCell ref="Y352:AA352"/>
    <mergeCell ref="AB351:AD351"/>
    <mergeCell ref="AE351:AG351"/>
    <mergeCell ref="AH351:AJ351"/>
    <mergeCell ref="AK351:AM351"/>
    <mergeCell ref="AN351:AP351"/>
    <mergeCell ref="AQ351:AS351"/>
    <mergeCell ref="C351:L351"/>
    <mergeCell ref="M351:O351"/>
    <mergeCell ref="P351:R351"/>
    <mergeCell ref="S351:U351"/>
    <mergeCell ref="V351:X351"/>
    <mergeCell ref="Y351:AA351"/>
    <mergeCell ref="AB350:AD350"/>
    <mergeCell ref="AE350:AG350"/>
    <mergeCell ref="AH350:AJ350"/>
    <mergeCell ref="AK350:AM350"/>
    <mergeCell ref="AN350:AP350"/>
    <mergeCell ref="AQ350:AS350"/>
    <mergeCell ref="C350:L350"/>
    <mergeCell ref="M350:O350"/>
    <mergeCell ref="P350:R350"/>
    <mergeCell ref="S350:U350"/>
    <mergeCell ref="V350:X350"/>
    <mergeCell ref="Y350:AA350"/>
    <mergeCell ref="AB349:AD349"/>
    <mergeCell ref="AE349:AG349"/>
    <mergeCell ref="AH349:AJ349"/>
    <mergeCell ref="AK349:AM349"/>
    <mergeCell ref="AN349:AP349"/>
    <mergeCell ref="AQ349:AS349"/>
    <mergeCell ref="C349:L349"/>
    <mergeCell ref="M349:O349"/>
    <mergeCell ref="P349:R349"/>
    <mergeCell ref="S349:U349"/>
    <mergeCell ref="V349:X349"/>
    <mergeCell ref="Y349:AA349"/>
    <mergeCell ref="C344:I344"/>
    <mergeCell ref="J344:T344"/>
    <mergeCell ref="U344:AG344"/>
    <mergeCell ref="AH344:AS344"/>
    <mergeCell ref="C346:I346"/>
    <mergeCell ref="J346:T346"/>
    <mergeCell ref="U346:AG346"/>
    <mergeCell ref="AH346:AS346"/>
    <mergeCell ref="C345:I345"/>
    <mergeCell ref="J345:T345"/>
    <mergeCell ref="U345:AG345"/>
    <mergeCell ref="AH345:AS345"/>
    <mergeCell ref="AH337:AS337"/>
    <mergeCell ref="C334:I334"/>
    <mergeCell ref="J334:T334"/>
    <mergeCell ref="U334:AG334"/>
    <mergeCell ref="AH334:AS334"/>
    <mergeCell ref="A335:A346"/>
    <mergeCell ref="C335:I335"/>
    <mergeCell ref="J335:T335"/>
    <mergeCell ref="U335:AG335"/>
    <mergeCell ref="AH335:AS335"/>
    <mergeCell ref="C336:I336"/>
    <mergeCell ref="C342:I342"/>
    <mergeCell ref="J342:T342"/>
    <mergeCell ref="U342:AG342"/>
    <mergeCell ref="AH342:AS342"/>
    <mergeCell ref="C343:I343"/>
    <mergeCell ref="J343:T343"/>
    <mergeCell ref="U343:AG343"/>
    <mergeCell ref="AH343:AS343"/>
    <mergeCell ref="C340:I340"/>
    <mergeCell ref="J340:T340"/>
    <mergeCell ref="U340:AG340"/>
    <mergeCell ref="AH340:AS340"/>
    <mergeCell ref="C341:I341"/>
    <mergeCell ref="C338:I338"/>
    <mergeCell ref="J338:T338"/>
    <mergeCell ref="U338:AG338"/>
    <mergeCell ref="AH338:AS338"/>
    <mergeCell ref="C339:I339"/>
    <mergeCell ref="J339:T339"/>
    <mergeCell ref="U339:AG339"/>
    <mergeCell ref="AH339:AS339"/>
    <mergeCell ref="C328:AM328"/>
    <mergeCell ref="AN328:AS328"/>
    <mergeCell ref="C329:AM329"/>
    <mergeCell ref="AN329:AS329"/>
    <mergeCell ref="C330:AM330"/>
    <mergeCell ref="AN330:AS330"/>
    <mergeCell ref="C325:AM325"/>
    <mergeCell ref="AN325:AS325"/>
    <mergeCell ref="C326:AM326"/>
    <mergeCell ref="AN326:AS326"/>
    <mergeCell ref="C327:AM327"/>
    <mergeCell ref="AN327:AS327"/>
    <mergeCell ref="I323:N323"/>
    <mergeCell ref="O323:T323"/>
    <mergeCell ref="I321:N321"/>
    <mergeCell ref="O321:T321"/>
    <mergeCell ref="C306:I306"/>
    <mergeCell ref="J306:O306"/>
    <mergeCell ref="P306:X306"/>
    <mergeCell ref="Y306:AG306"/>
    <mergeCell ref="I318:N318"/>
    <mergeCell ref="O318:T318"/>
    <mergeCell ref="I320:N320"/>
    <mergeCell ref="O320:T320"/>
    <mergeCell ref="I319:N319"/>
    <mergeCell ref="O319:T319"/>
    <mergeCell ref="C310:H311"/>
    <mergeCell ref="U315:Z315"/>
    <mergeCell ref="U316:Z316"/>
    <mergeCell ref="U317:Z317"/>
    <mergeCell ref="U318:Z318"/>
    <mergeCell ref="U319:Z319"/>
    <mergeCell ref="J304:O304"/>
    <mergeCell ref="P304:X304"/>
    <mergeCell ref="Y304:AG304"/>
    <mergeCell ref="C305:I305"/>
    <mergeCell ref="J305:O305"/>
    <mergeCell ref="P305:X305"/>
    <mergeCell ref="Y305:AG305"/>
    <mergeCell ref="C302:I302"/>
    <mergeCell ref="J302:O302"/>
    <mergeCell ref="P302:X302"/>
    <mergeCell ref="Y302:AG302"/>
    <mergeCell ref="AH302:AS306"/>
    <mergeCell ref="C303:I303"/>
    <mergeCell ref="J303:O303"/>
    <mergeCell ref="P303:X303"/>
    <mergeCell ref="Y303:AG303"/>
    <mergeCell ref="C304:I304"/>
    <mergeCell ref="C301:I301"/>
    <mergeCell ref="J301:O301"/>
    <mergeCell ref="P301:X301"/>
    <mergeCell ref="Y301:AG301"/>
    <mergeCell ref="AH301:AM301"/>
    <mergeCell ref="AN301:AS301"/>
    <mergeCell ref="C300:I300"/>
    <mergeCell ref="J300:O300"/>
    <mergeCell ref="P300:X300"/>
    <mergeCell ref="Y300:AG300"/>
    <mergeCell ref="AH300:AM300"/>
    <mergeCell ref="AN300:AS300"/>
    <mergeCell ref="C299:I299"/>
    <mergeCell ref="J299:O299"/>
    <mergeCell ref="P299:X299"/>
    <mergeCell ref="Y299:AG299"/>
    <mergeCell ref="AH299:AM299"/>
    <mergeCell ref="AN299:AS299"/>
    <mergeCell ref="C298:I298"/>
    <mergeCell ref="J298:O298"/>
    <mergeCell ref="P298:X298"/>
    <mergeCell ref="Y298:AG298"/>
    <mergeCell ref="AH298:AM298"/>
    <mergeCell ref="AN298:AS298"/>
    <mergeCell ref="C297:I297"/>
    <mergeCell ref="J297:O297"/>
    <mergeCell ref="P297:X297"/>
    <mergeCell ref="Y297:AG297"/>
    <mergeCell ref="AH297:AM297"/>
    <mergeCell ref="AN297:AS297"/>
    <mergeCell ref="C296:I296"/>
    <mergeCell ref="J296:O296"/>
    <mergeCell ref="P296:X296"/>
    <mergeCell ref="Y296:AG296"/>
    <mergeCell ref="AH296:AM296"/>
    <mergeCell ref="AN296:AS296"/>
    <mergeCell ref="C295:I295"/>
    <mergeCell ref="J295:O295"/>
    <mergeCell ref="P295:X295"/>
    <mergeCell ref="Y295:AG295"/>
    <mergeCell ref="AH295:AM295"/>
    <mergeCell ref="C294:I294"/>
    <mergeCell ref="J294:O294"/>
    <mergeCell ref="P294:X294"/>
    <mergeCell ref="Y294:AG294"/>
    <mergeCell ref="AH294:AM294"/>
    <mergeCell ref="C293:I293"/>
    <mergeCell ref="J293:O293"/>
    <mergeCell ref="P293:X293"/>
    <mergeCell ref="Y293:AG293"/>
    <mergeCell ref="AH293:AM293"/>
    <mergeCell ref="AN293:AS293"/>
    <mergeCell ref="C292:I292"/>
    <mergeCell ref="J292:O292"/>
    <mergeCell ref="P292:X292"/>
    <mergeCell ref="Y292:AG292"/>
    <mergeCell ref="AH292:AM292"/>
    <mergeCell ref="AN292:AS292"/>
    <mergeCell ref="AN294:AV294"/>
    <mergeCell ref="AN295:AV295"/>
    <mergeCell ref="C287:I287"/>
    <mergeCell ref="J287:O287"/>
    <mergeCell ref="V287:AA287"/>
    <mergeCell ref="AH286:AM286"/>
    <mergeCell ref="AH287:AM287"/>
    <mergeCell ref="AH284:AM284"/>
    <mergeCell ref="AH285:AM285"/>
    <mergeCell ref="AN283:AS283"/>
    <mergeCell ref="AN284:AS284"/>
    <mergeCell ref="AN286:AS286"/>
    <mergeCell ref="AN287:AS287"/>
    <mergeCell ref="AN288:AS288"/>
    <mergeCell ref="AN289:AS289"/>
    <mergeCell ref="C282:I282"/>
    <mergeCell ref="AH282:AM282"/>
    <mergeCell ref="AN282:AS282"/>
    <mergeCell ref="AB283:AG283"/>
    <mergeCell ref="AB284:AG284"/>
    <mergeCell ref="AB285:AG285"/>
    <mergeCell ref="AB286:AG286"/>
    <mergeCell ref="AB287:AG287"/>
    <mergeCell ref="AB288:AG288"/>
    <mergeCell ref="AB289:AG289"/>
    <mergeCell ref="C288:I288"/>
    <mergeCell ref="J288:O288"/>
    <mergeCell ref="V288:AA288"/>
    <mergeCell ref="AH288:AM288"/>
    <mergeCell ref="J282:O282"/>
    <mergeCell ref="J284:O284"/>
    <mergeCell ref="P282:U282"/>
    <mergeCell ref="P284:U284"/>
    <mergeCell ref="P286:U286"/>
    <mergeCell ref="C281:I281"/>
    <mergeCell ref="J281:O281"/>
    <mergeCell ref="V281:AA281"/>
    <mergeCell ref="AH281:AM281"/>
    <mergeCell ref="C280:I280"/>
    <mergeCell ref="AN276:AS276"/>
    <mergeCell ref="C278:I278"/>
    <mergeCell ref="C274:I276"/>
    <mergeCell ref="J274:AS274"/>
    <mergeCell ref="J275:U275"/>
    <mergeCell ref="V275:AG275"/>
    <mergeCell ref="AH275:AS275"/>
    <mergeCell ref="J276:O276"/>
    <mergeCell ref="P276:U276"/>
    <mergeCell ref="V276:AA276"/>
    <mergeCell ref="AB276:AG276"/>
    <mergeCell ref="AH276:AM276"/>
    <mergeCell ref="C277:I277"/>
    <mergeCell ref="C279:I279"/>
    <mergeCell ref="AH280:AM280"/>
    <mergeCell ref="AN277:AS277"/>
    <mergeCell ref="AN278:AS278"/>
    <mergeCell ref="AN279:AS279"/>
    <mergeCell ref="AN280:AS280"/>
    <mergeCell ref="AN281:AS281"/>
    <mergeCell ref="J277:O277"/>
    <mergeCell ref="J278:O278"/>
    <mergeCell ref="J279:O279"/>
    <mergeCell ref="J280:O280"/>
    <mergeCell ref="P280:U280"/>
    <mergeCell ref="P281:U281"/>
    <mergeCell ref="C210:L210"/>
    <mergeCell ref="M210:AM210"/>
    <mergeCell ref="AN210:AS210"/>
    <mergeCell ref="I230:N230"/>
    <mergeCell ref="U230:AG230"/>
    <mergeCell ref="C260:AM260"/>
    <mergeCell ref="AN260:AS260"/>
    <mergeCell ref="C261:AM261"/>
    <mergeCell ref="AN261:AS261"/>
    <mergeCell ref="I255:N255"/>
    <mergeCell ref="U255:AG255"/>
    <mergeCell ref="C258:AM258"/>
    <mergeCell ref="AN258:AS258"/>
    <mergeCell ref="C253:H255"/>
    <mergeCell ref="I253:N253"/>
    <mergeCell ref="O253:T255"/>
    <mergeCell ref="U253:AG253"/>
    <mergeCell ref="I254:N254"/>
    <mergeCell ref="U254:AG254"/>
    <mergeCell ref="C257:AS257"/>
    <mergeCell ref="AH253:AM253"/>
    <mergeCell ref="AH254:AM254"/>
    <mergeCell ref="AH255:AM255"/>
    <mergeCell ref="AN220:AS220"/>
    <mergeCell ref="AN221:AS221"/>
    <mergeCell ref="AN222:AS222"/>
    <mergeCell ref="AN226:AS226"/>
    <mergeCell ref="AN227:AS227"/>
    <mergeCell ref="AN228:AS228"/>
    <mergeCell ref="AH220:AM220"/>
    <mergeCell ref="AH221:AM221"/>
    <mergeCell ref="AH222:AM222"/>
    <mergeCell ref="C204:L204"/>
    <mergeCell ref="M204:AM204"/>
    <mergeCell ref="AN204:AS204"/>
    <mergeCell ref="C205:L205"/>
    <mergeCell ref="M205:AM205"/>
    <mergeCell ref="AN205:AS205"/>
    <mergeCell ref="A214:A255"/>
    <mergeCell ref="C214:H216"/>
    <mergeCell ref="I214:N216"/>
    <mergeCell ref="O214:T216"/>
    <mergeCell ref="U214:AG216"/>
    <mergeCell ref="AH214:AS214"/>
    <mergeCell ref="AH215:AS215"/>
    <mergeCell ref="C208:L208"/>
    <mergeCell ref="M208:AM208"/>
    <mergeCell ref="AN208:AS208"/>
    <mergeCell ref="C209:L209"/>
    <mergeCell ref="M209:AM209"/>
    <mergeCell ref="AN209:AS209"/>
    <mergeCell ref="C206:L206"/>
    <mergeCell ref="M206:AM206"/>
    <mergeCell ref="AN206:AS206"/>
    <mergeCell ref="C207:L207"/>
    <mergeCell ref="M207:AM207"/>
    <mergeCell ref="AN207:AS207"/>
    <mergeCell ref="I222:N222"/>
    <mergeCell ref="U222:AG222"/>
    <mergeCell ref="C220:H222"/>
    <mergeCell ref="I220:N220"/>
    <mergeCell ref="O220:T222"/>
    <mergeCell ref="U220:AG220"/>
    <mergeCell ref="I221:N221"/>
    <mergeCell ref="AN199:AS199"/>
    <mergeCell ref="C193:L193"/>
    <mergeCell ref="M193:AM193"/>
    <mergeCell ref="AN193:AS193"/>
    <mergeCell ref="C194:L194"/>
    <mergeCell ref="M194:AM194"/>
    <mergeCell ref="AN194:AS194"/>
    <mergeCell ref="C190:L190"/>
    <mergeCell ref="M190:AM190"/>
    <mergeCell ref="AN190:AS190"/>
    <mergeCell ref="C192:L192"/>
    <mergeCell ref="M192:AM192"/>
    <mergeCell ref="AN192:AS192"/>
    <mergeCell ref="C200:AM200"/>
    <mergeCell ref="AN200:AS200"/>
    <mergeCell ref="C198:AM198"/>
    <mergeCell ref="AN198:AS198"/>
    <mergeCell ref="C199:AM199"/>
    <mergeCell ref="C181:L181"/>
    <mergeCell ref="M181:AM181"/>
    <mergeCell ref="AN181:AS181"/>
    <mergeCell ref="C177:L177"/>
    <mergeCell ref="M177:AM177"/>
    <mergeCell ref="AN177:AS177"/>
    <mergeCell ref="C174:L174"/>
    <mergeCell ref="M174:AM174"/>
    <mergeCell ref="AN174:AS174"/>
    <mergeCell ref="C176:L176"/>
    <mergeCell ref="M176:AM176"/>
    <mergeCell ref="AN176:AS176"/>
    <mergeCell ref="C191:L191"/>
    <mergeCell ref="M191:AM191"/>
    <mergeCell ref="AN191:AS191"/>
    <mergeCell ref="C186:L186"/>
    <mergeCell ref="M186:AM186"/>
    <mergeCell ref="AN186:AS186"/>
    <mergeCell ref="C187:L187"/>
    <mergeCell ref="M187:AM187"/>
    <mergeCell ref="AN187:AS187"/>
    <mergeCell ref="C182:L182"/>
    <mergeCell ref="M182:AM182"/>
    <mergeCell ref="AN182:AS182"/>
    <mergeCell ref="C183:L183"/>
    <mergeCell ref="M183:AM183"/>
    <mergeCell ref="AN183:AS183"/>
    <mergeCell ref="C185:AS185"/>
    <mergeCell ref="C189:AS189"/>
    <mergeCell ref="AN160:AS160"/>
    <mergeCell ref="C161:AM161"/>
    <mergeCell ref="AN161:AS161"/>
    <mergeCell ref="C157:L157"/>
    <mergeCell ref="M157:AM157"/>
    <mergeCell ref="AN157:AS157"/>
    <mergeCell ref="C158:L158"/>
    <mergeCell ref="M158:AM158"/>
    <mergeCell ref="AN158:AS158"/>
    <mergeCell ref="C165:AM165"/>
    <mergeCell ref="AN165:AS165"/>
    <mergeCell ref="C166:AM166"/>
    <mergeCell ref="AN166:AS166"/>
    <mergeCell ref="C167:AM167"/>
    <mergeCell ref="AN167:AS167"/>
    <mergeCell ref="C180:L180"/>
    <mergeCell ref="M180:AM180"/>
    <mergeCell ref="AN180:AS180"/>
    <mergeCell ref="C175:L175"/>
    <mergeCell ref="M175:AM175"/>
    <mergeCell ref="AN175:AS175"/>
    <mergeCell ref="C179:AS179"/>
    <mergeCell ref="C155:L155"/>
    <mergeCell ref="M155:AM155"/>
    <mergeCell ref="AN155:AS155"/>
    <mergeCell ref="C156:L156"/>
    <mergeCell ref="M156:AM156"/>
    <mergeCell ref="AN156:AS156"/>
    <mergeCell ref="C149:AM149"/>
    <mergeCell ref="AN149:AS149"/>
    <mergeCell ref="A153:A167"/>
    <mergeCell ref="C153:L153"/>
    <mergeCell ref="M153:AM153"/>
    <mergeCell ref="AN153:AS153"/>
    <mergeCell ref="C154:L154"/>
    <mergeCell ref="M154:AM154"/>
    <mergeCell ref="AN154:AS154"/>
    <mergeCell ref="C142:AM142"/>
    <mergeCell ref="A145:A147"/>
    <mergeCell ref="C145:AM145"/>
    <mergeCell ref="AN145:AS145"/>
    <mergeCell ref="C146:AM146"/>
    <mergeCell ref="AN146:AS146"/>
    <mergeCell ref="C147:AM147"/>
    <mergeCell ref="AN147:AS147"/>
    <mergeCell ref="C162:AM162"/>
    <mergeCell ref="AN162:AS162"/>
    <mergeCell ref="C163:AM163"/>
    <mergeCell ref="AN163:AS163"/>
    <mergeCell ref="C164:AM164"/>
    <mergeCell ref="AN164:AS164"/>
    <mergeCell ref="C159:AM159"/>
    <mergeCell ref="AN159:AS159"/>
    <mergeCell ref="C160:AM160"/>
    <mergeCell ref="AN139:AS139"/>
    <mergeCell ref="C140:AM140"/>
    <mergeCell ref="AN140:AS140"/>
    <mergeCell ref="C141:AM141"/>
    <mergeCell ref="AN141:AS141"/>
    <mergeCell ref="C134:L134"/>
    <mergeCell ref="M134:AM134"/>
    <mergeCell ref="AN134:AS134"/>
    <mergeCell ref="A137:A141"/>
    <mergeCell ref="C137:AM137"/>
    <mergeCell ref="AN137:AS137"/>
    <mergeCell ref="C138:AM138"/>
    <mergeCell ref="AN138:AS138"/>
    <mergeCell ref="C132:L132"/>
    <mergeCell ref="M132:AM132"/>
    <mergeCell ref="AN132:AS132"/>
    <mergeCell ref="C133:L133"/>
    <mergeCell ref="M133:AM133"/>
    <mergeCell ref="AN133:AS133"/>
    <mergeCell ref="C136:AS136"/>
    <mergeCell ref="AN124:AS124"/>
    <mergeCell ref="C125:L125"/>
    <mergeCell ref="M125:AM125"/>
    <mergeCell ref="AN125:AS125"/>
    <mergeCell ref="C126:L126"/>
    <mergeCell ref="M126:AM126"/>
    <mergeCell ref="AN126:AS126"/>
    <mergeCell ref="M121:AP121"/>
    <mergeCell ref="C122:L122"/>
    <mergeCell ref="M122:AM122"/>
    <mergeCell ref="AN122:AS122"/>
    <mergeCell ref="A123:A134"/>
    <mergeCell ref="C123:L123"/>
    <mergeCell ref="M123:AM123"/>
    <mergeCell ref="AN123:AS123"/>
    <mergeCell ref="C124:L124"/>
    <mergeCell ref="M124:AM124"/>
    <mergeCell ref="C130:L130"/>
    <mergeCell ref="M130:AM130"/>
    <mergeCell ref="AN130:AS130"/>
    <mergeCell ref="C131:L131"/>
    <mergeCell ref="M131:AM131"/>
    <mergeCell ref="AN131:AS131"/>
    <mergeCell ref="C128:L128"/>
    <mergeCell ref="M128:AM128"/>
    <mergeCell ref="AN128:AS128"/>
    <mergeCell ref="C129:L129"/>
    <mergeCell ref="M129:AM129"/>
    <mergeCell ref="AN129:AS129"/>
    <mergeCell ref="C127:L127"/>
    <mergeCell ref="M127:AM127"/>
    <mergeCell ref="AN127:AS127"/>
    <mergeCell ref="C118:L118"/>
    <mergeCell ref="M118:AM118"/>
    <mergeCell ref="AN118:AS118"/>
    <mergeCell ref="C119:L119"/>
    <mergeCell ref="M119:AM119"/>
    <mergeCell ref="AN119:AS119"/>
    <mergeCell ref="C116:L116"/>
    <mergeCell ref="M116:AM116"/>
    <mergeCell ref="AN116:AS116"/>
    <mergeCell ref="C117:L117"/>
    <mergeCell ref="M117:AM117"/>
    <mergeCell ref="AN117:AS117"/>
    <mergeCell ref="C114:L114"/>
    <mergeCell ref="M114:AM114"/>
    <mergeCell ref="AN114:AS114"/>
    <mergeCell ref="C115:L115"/>
    <mergeCell ref="M115:AM115"/>
    <mergeCell ref="AN115:AS115"/>
    <mergeCell ref="C112:L112"/>
    <mergeCell ref="M112:AM112"/>
    <mergeCell ref="AN112:AS112"/>
    <mergeCell ref="C113:L113"/>
    <mergeCell ref="M113:AM113"/>
    <mergeCell ref="AN113:AS113"/>
    <mergeCell ref="C110:L110"/>
    <mergeCell ref="M110:AM110"/>
    <mergeCell ref="AN110:AS110"/>
    <mergeCell ref="C111:L111"/>
    <mergeCell ref="M111:AM111"/>
    <mergeCell ref="AN111:AS111"/>
    <mergeCell ref="C108:L108"/>
    <mergeCell ref="M108:AM108"/>
    <mergeCell ref="AN108:AS108"/>
    <mergeCell ref="C109:L109"/>
    <mergeCell ref="M109:AM109"/>
    <mergeCell ref="AN109:AS109"/>
    <mergeCell ref="C106:L106"/>
    <mergeCell ref="M106:AM106"/>
    <mergeCell ref="AN106:AS106"/>
    <mergeCell ref="C107:L107"/>
    <mergeCell ref="M107:AM107"/>
    <mergeCell ref="AN107:AS107"/>
    <mergeCell ref="C102:L102"/>
    <mergeCell ref="M102:AM102"/>
    <mergeCell ref="C104:AM104"/>
    <mergeCell ref="C105:L105"/>
    <mergeCell ref="M105:AM105"/>
    <mergeCell ref="AN105:AS105"/>
    <mergeCell ref="C100:L100"/>
    <mergeCell ref="M100:AM100"/>
    <mergeCell ref="C101:L101"/>
    <mergeCell ref="M101:AM101"/>
    <mergeCell ref="AN101:AS101"/>
    <mergeCell ref="AN100:AS100"/>
    <mergeCell ref="AN102:AS102"/>
    <mergeCell ref="K1:AE1"/>
    <mergeCell ref="C3:AM3"/>
    <mergeCell ref="C4:AM4"/>
    <mergeCell ref="C5:AM5"/>
    <mergeCell ref="C6:AM6"/>
    <mergeCell ref="C46:AM46"/>
    <mergeCell ref="C47:AM47"/>
    <mergeCell ref="C48:AM48"/>
    <mergeCell ref="C25:AM25"/>
    <mergeCell ref="C28:AM28"/>
    <mergeCell ref="C24:AM24"/>
    <mergeCell ref="C45:AM45"/>
    <mergeCell ref="C21:AM21"/>
    <mergeCell ref="C22:AM22"/>
    <mergeCell ref="C16:AM16"/>
    <mergeCell ref="C23:AM23"/>
    <mergeCell ref="C7:AM7"/>
    <mergeCell ref="C8:AM8"/>
    <mergeCell ref="C9:AM9"/>
    <mergeCell ref="C40:AM40"/>
    <mergeCell ref="C43:AM43"/>
    <mergeCell ref="C32:AM32"/>
    <mergeCell ref="C35:AM35"/>
    <mergeCell ref="C13:AM13"/>
    <mergeCell ref="C17:AM17"/>
    <mergeCell ref="C18:AM18"/>
    <mergeCell ref="C19:AM19"/>
    <mergeCell ref="C20:AM20"/>
    <mergeCell ref="C26:AM26"/>
    <mergeCell ref="C27:AM27"/>
    <mergeCell ref="C66:AM66"/>
    <mergeCell ref="C67:AM67"/>
    <mergeCell ref="C68:AM68"/>
    <mergeCell ref="C10:AM10"/>
    <mergeCell ref="C15:AM15"/>
    <mergeCell ref="C53:AM53"/>
    <mergeCell ref="C54:AM54"/>
    <mergeCell ref="C55:AM55"/>
    <mergeCell ref="C56:AM56"/>
    <mergeCell ref="C36:AM36"/>
    <mergeCell ref="C37:AM37"/>
    <mergeCell ref="C38:AM38"/>
    <mergeCell ref="C39:AM39"/>
    <mergeCell ref="C63:AM63"/>
    <mergeCell ref="C29:AM29"/>
    <mergeCell ref="C34:AM34"/>
    <mergeCell ref="C49:AM49"/>
    <mergeCell ref="C57:AM57"/>
    <mergeCell ref="C12:AM12"/>
    <mergeCell ref="C52:AM52"/>
    <mergeCell ref="AN1064:AS1064"/>
    <mergeCell ref="AH1072:AJ1072"/>
    <mergeCell ref="AK1072:AM1072"/>
    <mergeCell ref="AN1072:AS1072"/>
    <mergeCell ref="AH1073:AJ1073"/>
    <mergeCell ref="AK1073:AM1073"/>
    <mergeCell ref="AN1073:AS1073"/>
    <mergeCell ref="AE1072:AG1072"/>
    <mergeCell ref="AE1073:AG1073"/>
    <mergeCell ref="AH1074:AJ1074"/>
    <mergeCell ref="AK1074:AM1074"/>
    <mergeCell ref="AN1074:AS1074"/>
    <mergeCell ref="AH1075:AJ1075"/>
    <mergeCell ref="AK1075:AM1075"/>
    <mergeCell ref="AN1075:AS1075"/>
    <mergeCell ref="AE1074:AG1074"/>
    <mergeCell ref="AE1075:AG1075"/>
    <mergeCell ref="AE1067:AG1067"/>
    <mergeCell ref="AE1068:AG1068"/>
    <mergeCell ref="AE1069:AG1069"/>
    <mergeCell ref="AE1070:AG1070"/>
    <mergeCell ref="AE1071:AG1071"/>
    <mergeCell ref="AH1067:AJ1067"/>
    <mergeCell ref="AK1067:AM1067"/>
    <mergeCell ref="AN1067:AS1067"/>
    <mergeCell ref="AH1076:AJ1076"/>
    <mergeCell ref="AK1076:AM1076"/>
    <mergeCell ref="AN1076:AS1076"/>
    <mergeCell ref="AH1077:AJ1077"/>
    <mergeCell ref="AK1077:AM1077"/>
    <mergeCell ref="AN1077:AS1077"/>
    <mergeCell ref="AE1076:AG1076"/>
    <mergeCell ref="AE1077:AG1077"/>
    <mergeCell ref="AH1078:AJ1078"/>
    <mergeCell ref="AK1078:AM1078"/>
    <mergeCell ref="AN1078:AS1078"/>
    <mergeCell ref="AH1079:AJ1079"/>
    <mergeCell ref="AK1079:AM1079"/>
    <mergeCell ref="AN1079:AS1079"/>
    <mergeCell ref="AE1078:AG1078"/>
    <mergeCell ref="AE1079:AG1079"/>
    <mergeCell ref="AH1080:AJ1080"/>
    <mergeCell ref="AK1080:AM1080"/>
    <mergeCell ref="AN1080:AS1080"/>
    <mergeCell ref="AE1080:AG1080"/>
    <mergeCell ref="AN1087:AS1087"/>
    <mergeCell ref="AH1088:AJ1088"/>
    <mergeCell ref="AK1088:AM1088"/>
    <mergeCell ref="AN1088:AS1088"/>
    <mergeCell ref="AH1089:AJ1089"/>
    <mergeCell ref="AK1089:AM1089"/>
    <mergeCell ref="AN1089:AS1089"/>
    <mergeCell ref="AB1087:AD1087"/>
    <mergeCell ref="AB1088:AD1088"/>
    <mergeCell ref="AB1089:AD1089"/>
    <mergeCell ref="AH1090:AJ1090"/>
    <mergeCell ref="AK1090:AM1090"/>
    <mergeCell ref="AN1090:AS1090"/>
    <mergeCell ref="AH1091:AJ1091"/>
    <mergeCell ref="AK1091:AM1091"/>
    <mergeCell ref="AN1091:AS1091"/>
    <mergeCell ref="AB1090:AD1090"/>
    <mergeCell ref="AB1091:AD1091"/>
    <mergeCell ref="AN1092:AS1092"/>
    <mergeCell ref="AH1093:AJ1093"/>
    <mergeCell ref="AK1093:AM1093"/>
    <mergeCell ref="AN1093:AS1093"/>
    <mergeCell ref="AB1092:AD1092"/>
    <mergeCell ref="AB1093:AD1093"/>
    <mergeCell ref="AH1095:AJ1095"/>
    <mergeCell ref="AK1095:AM1095"/>
    <mergeCell ref="AN1095:AS1095"/>
    <mergeCell ref="AH1096:AJ1096"/>
    <mergeCell ref="AK1096:AM1096"/>
    <mergeCell ref="AN1096:AS1096"/>
    <mergeCell ref="AH1097:AJ1097"/>
    <mergeCell ref="AK1097:AM1097"/>
    <mergeCell ref="AN1097:AS1097"/>
    <mergeCell ref="AH1098:AJ1098"/>
    <mergeCell ref="AK1098:AM1098"/>
    <mergeCell ref="AN1098:AS1098"/>
    <mergeCell ref="AE1097:AG1097"/>
    <mergeCell ref="AE1098:AG1098"/>
    <mergeCell ref="AN1099:AS1099"/>
    <mergeCell ref="AH1100:AJ1100"/>
    <mergeCell ref="AK1100:AM1100"/>
    <mergeCell ref="AN1100:AS1100"/>
    <mergeCell ref="E1100:I1100"/>
    <mergeCell ref="AH1101:AJ1101"/>
    <mergeCell ref="AK1101:AM1101"/>
    <mergeCell ref="AN1101:AS1101"/>
    <mergeCell ref="AH1104:AJ1104"/>
    <mergeCell ref="AK1104:AM1104"/>
    <mergeCell ref="AN1104:AS1104"/>
    <mergeCell ref="AH1105:AJ1105"/>
    <mergeCell ref="AK1105:AM1105"/>
    <mergeCell ref="AN1105:AS1105"/>
    <mergeCell ref="AH1106:AJ1106"/>
    <mergeCell ref="AK1106:AM1106"/>
    <mergeCell ref="AN1106:AS1106"/>
    <mergeCell ref="E1099:I1099"/>
    <mergeCell ref="AE1099:AG1099"/>
    <mergeCell ref="AE1100:AG1100"/>
    <mergeCell ref="AE1101:AG1101"/>
    <mergeCell ref="AE1102:AG1102"/>
    <mergeCell ref="J1104:X1104"/>
    <mergeCell ref="J1105:X1105"/>
    <mergeCell ref="J1106:X1106"/>
    <mergeCell ref="E1104:I1104"/>
    <mergeCell ref="E1105:I1105"/>
    <mergeCell ref="E1106:I1106"/>
    <mergeCell ref="AH1107:AJ1107"/>
    <mergeCell ref="AK1107:AM1107"/>
    <mergeCell ref="AN1107:AS1107"/>
    <mergeCell ref="AH1108:AJ1108"/>
    <mergeCell ref="AK1108:AM1108"/>
    <mergeCell ref="AN1108:AS1108"/>
    <mergeCell ref="AH1109:AJ1109"/>
    <mergeCell ref="AK1109:AM1109"/>
    <mergeCell ref="AN1109:AS1109"/>
    <mergeCell ref="AH1114:AJ1114"/>
    <mergeCell ref="AK1114:AM1114"/>
    <mergeCell ref="AN1114:AS1114"/>
    <mergeCell ref="AH1115:AJ1115"/>
    <mergeCell ref="AK1115:AM1115"/>
    <mergeCell ref="AN1115:AS1115"/>
    <mergeCell ref="AH1116:AJ1116"/>
    <mergeCell ref="AK1116:AM1116"/>
    <mergeCell ref="AN1116:AS1116"/>
    <mergeCell ref="AN1112:AS1112"/>
    <mergeCell ref="AH1112:AJ1112"/>
    <mergeCell ref="AH1117:AJ1117"/>
    <mergeCell ref="AK1117:AM1117"/>
    <mergeCell ref="AN1117:AS1117"/>
    <mergeCell ref="AH1118:AJ1118"/>
    <mergeCell ref="AK1118:AM1118"/>
    <mergeCell ref="AN1118:AS1118"/>
    <mergeCell ref="AH1119:AJ1119"/>
    <mergeCell ref="AK1119:AM1119"/>
    <mergeCell ref="AN1119:AS1119"/>
    <mergeCell ref="AH1120:AJ1120"/>
    <mergeCell ref="AK1120:AM1120"/>
    <mergeCell ref="AN1120:AS1120"/>
    <mergeCell ref="AH1125:AJ1125"/>
    <mergeCell ref="AK1125:AM1125"/>
    <mergeCell ref="AN1125:AS1125"/>
    <mergeCell ref="AH1126:AJ1126"/>
    <mergeCell ref="AK1126:AM1126"/>
    <mergeCell ref="AN1126:AS1126"/>
    <mergeCell ref="AH1121:AJ1121"/>
    <mergeCell ref="AH1122:AJ1122"/>
    <mergeCell ref="AH1123:AJ1123"/>
    <mergeCell ref="AH1124:AJ1124"/>
    <mergeCell ref="AN1127:AS1127"/>
    <mergeCell ref="AH1128:AJ1128"/>
    <mergeCell ref="AK1128:AM1128"/>
    <mergeCell ref="AN1128:AS1128"/>
    <mergeCell ref="AH1130:AJ1130"/>
    <mergeCell ref="AK1130:AM1130"/>
    <mergeCell ref="AN1130:AS1130"/>
    <mergeCell ref="AH1131:AJ1131"/>
    <mergeCell ref="AK1131:AM1131"/>
    <mergeCell ref="AN1131:AS1131"/>
    <mergeCell ref="AH1133:AJ1133"/>
    <mergeCell ref="AK1133:AM1133"/>
    <mergeCell ref="AN1133:AS1133"/>
    <mergeCell ref="C1132:AS1132"/>
    <mergeCell ref="AH1135:AJ1135"/>
    <mergeCell ref="AK1135:AM1135"/>
    <mergeCell ref="AN1135:AS1135"/>
    <mergeCell ref="Y1131:AA1131"/>
    <mergeCell ref="Y1133:AA1133"/>
    <mergeCell ref="Y1134:AA1134"/>
    <mergeCell ref="Y1135:AA1135"/>
    <mergeCell ref="AH1129:AJ1129"/>
    <mergeCell ref="AH1134:AJ1134"/>
    <mergeCell ref="J1128:X1128"/>
    <mergeCell ref="J1129:X1129"/>
    <mergeCell ref="J1130:X1130"/>
    <mergeCell ref="J1131:X1131"/>
    <mergeCell ref="J1133:X1133"/>
    <mergeCell ref="J1134:X1134"/>
    <mergeCell ref="J1135:X1135"/>
    <mergeCell ref="AH1136:AJ1136"/>
    <mergeCell ref="AK1136:AM1136"/>
    <mergeCell ref="AN1136:AS1136"/>
    <mergeCell ref="AH1137:AJ1137"/>
    <mergeCell ref="AK1137:AM1137"/>
    <mergeCell ref="AN1137:AS1137"/>
    <mergeCell ref="AH1138:AJ1138"/>
    <mergeCell ref="AK1138:AM1138"/>
    <mergeCell ref="AN1138:AS1138"/>
    <mergeCell ref="AH1140:AJ1140"/>
    <mergeCell ref="AK1140:AM1140"/>
    <mergeCell ref="AN1140:AS1140"/>
    <mergeCell ref="AH1141:AJ1141"/>
    <mergeCell ref="AK1141:AM1141"/>
    <mergeCell ref="AN1141:AS1141"/>
    <mergeCell ref="AH1146:AJ1146"/>
    <mergeCell ref="AK1146:AM1146"/>
    <mergeCell ref="AN1146:AS1146"/>
    <mergeCell ref="AH1139:AJ1139"/>
    <mergeCell ref="AH1145:AJ1145"/>
    <mergeCell ref="AH1147:AJ1147"/>
    <mergeCell ref="AK1147:AM1147"/>
    <mergeCell ref="AN1147:AS1147"/>
    <mergeCell ref="AH1148:AJ1148"/>
    <mergeCell ref="AK1148:AM1148"/>
    <mergeCell ref="AN1148:AS1148"/>
    <mergeCell ref="AH1149:AJ1149"/>
    <mergeCell ref="AK1149:AM1149"/>
    <mergeCell ref="AN1149:AS1149"/>
    <mergeCell ref="AH1151:AJ1151"/>
    <mergeCell ref="AK1151:AM1151"/>
    <mergeCell ref="AN1151:AS1151"/>
    <mergeCell ref="AH1152:AJ1152"/>
    <mergeCell ref="AK1152:AM1152"/>
    <mergeCell ref="AN1152:AS1152"/>
    <mergeCell ref="AH1153:AJ1153"/>
    <mergeCell ref="AK1153:AM1153"/>
    <mergeCell ref="AN1153:AS1153"/>
    <mergeCell ref="AH1150:AJ1150"/>
    <mergeCell ref="AN1165:AS1165"/>
    <mergeCell ref="AH1166:AJ1166"/>
    <mergeCell ref="AK1166:AM1166"/>
    <mergeCell ref="C1287:AS1287"/>
    <mergeCell ref="AH1154:AJ1154"/>
    <mergeCell ref="AK1154:AM1154"/>
    <mergeCell ref="AN1154:AS1154"/>
    <mergeCell ref="AH1156:AJ1156"/>
    <mergeCell ref="AK1156:AM1156"/>
    <mergeCell ref="AN1156:AS1156"/>
    <mergeCell ref="AH1157:AJ1157"/>
    <mergeCell ref="AK1157:AM1157"/>
    <mergeCell ref="AN1157:AS1157"/>
    <mergeCell ref="AH1158:AJ1158"/>
    <mergeCell ref="AK1158:AM1158"/>
    <mergeCell ref="AN1158:AS1158"/>
    <mergeCell ref="AN1160:AS1160"/>
    <mergeCell ref="AH1159:AJ1159"/>
    <mergeCell ref="AK1159:AM1159"/>
    <mergeCell ref="AN1159:AS1159"/>
    <mergeCell ref="AH1160:AJ1160"/>
    <mergeCell ref="AK1160:AM1160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288:L1288"/>
    <mergeCell ref="M1288:P1288"/>
    <mergeCell ref="Q1288:S1288"/>
    <mergeCell ref="T1288:AB1288"/>
    <mergeCell ref="AC1288:AG1288"/>
    <mergeCell ref="AH1288:AJ1288"/>
    <mergeCell ref="AK1288:AM1288"/>
    <mergeCell ref="AN1288:AS1288"/>
    <mergeCell ref="C1289:L1289"/>
    <mergeCell ref="M1289:P1289"/>
    <mergeCell ref="Q1289:S1289"/>
    <mergeCell ref="T1289:AB1289"/>
    <mergeCell ref="AC1289:AG1289"/>
    <mergeCell ref="AH1289:AJ1289"/>
    <mergeCell ref="AK1289:AM1289"/>
    <mergeCell ref="AN1289:AS1289"/>
    <mergeCell ref="AB1065:AD1065"/>
    <mergeCell ref="C1068:D1068"/>
    <mergeCell ref="C1069:D1069"/>
    <mergeCell ref="AH1161:AJ1161"/>
    <mergeCell ref="AK1161:AM1161"/>
    <mergeCell ref="AH1162:AJ1162"/>
    <mergeCell ref="AK1162:AM1162"/>
    <mergeCell ref="AN1162:AS1162"/>
    <mergeCell ref="AH1163:AJ1163"/>
    <mergeCell ref="AK1163:AM1163"/>
    <mergeCell ref="AN1163:AS1163"/>
    <mergeCell ref="AH1164:AJ1164"/>
    <mergeCell ref="AK1164:AM1164"/>
    <mergeCell ref="AN1164:AS1164"/>
    <mergeCell ref="AH1165:AJ1165"/>
    <mergeCell ref="AK1165:AM1165"/>
    <mergeCell ref="C1290:L1290"/>
    <mergeCell ref="M1290:P1290"/>
    <mergeCell ref="Q1290:S1290"/>
    <mergeCell ref="T1290:AB1290"/>
    <mergeCell ref="AC1290:AG1290"/>
    <mergeCell ref="AH1290:AJ1290"/>
    <mergeCell ref="AK1290:AM1290"/>
    <mergeCell ref="AN1290:AS1290"/>
    <mergeCell ref="C1291:L1291"/>
    <mergeCell ref="M1291:P1291"/>
    <mergeCell ref="Q1291:S1291"/>
    <mergeCell ref="T1291:AB1291"/>
    <mergeCell ref="AC1291:AG1291"/>
    <mergeCell ref="AH1291:AJ1291"/>
    <mergeCell ref="AK1291:AM1291"/>
    <mergeCell ref="AN1291:AS1291"/>
    <mergeCell ref="C1292:L1292"/>
    <mergeCell ref="M1292:P1292"/>
    <mergeCell ref="Q1292:S1292"/>
    <mergeCell ref="T1292:AB1292"/>
    <mergeCell ref="AC1292:AG1292"/>
    <mergeCell ref="AH1292:AJ1292"/>
    <mergeCell ref="AK1292:AM1292"/>
    <mergeCell ref="AN1292:AS1292"/>
    <mergeCell ref="C1293:L1293"/>
    <mergeCell ref="M1293:P1293"/>
    <mergeCell ref="Q1293:S1293"/>
    <mergeCell ref="T1293:AB1293"/>
    <mergeCell ref="AC1293:AG1293"/>
    <mergeCell ref="AH1293:AJ1293"/>
    <mergeCell ref="AK1293:AM1293"/>
    <mergeCell ref="AN1293:AS1293"/>
    <mergeCell ref="C1294:L1294"/>
    <mergeCell ref="M1294:P1294"/>
    <mergeCell ref="Q1294:S1294"/>
    <mergeCell ref="T1294:AB1294"/>
    <mergeCell ref="AC1294:AG1294"/>
    <mergeCell ref="AH1294:AJ1294"/>
    <mergeCell ref="AK1294:AM1294"/>
    <mergeCell ref="AN1294:AS1294"/>
    <mergeCell ref="AN1295:AS1295"/>
    <mergeCell ref="C1295:AM1295"/>
    <mergeCell ref="C1296:AS1296"/>
    <mergeCell ref="C1298:L1298"/>
    <mergeCell ref="M1298:P1298"/>
    <mergeCell ref="Q1298:S1298"/>
    <mergeCell ref="T1298:AB1298"/>
    <mergeCell ref="AC1298:AG1298"/>
    <mergeCell ref="AH1298:AJ1298"/>
    <mergeCell ref="AK1298:AM1298"/>
    <mergeCell ref="AN1298:AS1298"/>
    <mergeCell ref="C1299:L1299"/>
    <mergeCell ref="M1299:P1299"/>
    <mergeCell ref="Q1299:S1299"/>
    <mergeCell ref="T1299:AB1299"/>
    <mergeCell ref="AC1299:AG1299"/>
    <mergeCell ref="AH1299:AJ1299"/>
    <mergeCell ref="AK1299:AM1299"/>
    <mergeCell ref="AN1299:AS1299"/>
    <mergeCell ref="C1297:L1297"/>
    <mergeCell ref="M1297:P1297"/>
    <mergeCell ref="Q1297:S1297"/>
    <mergeCell ref="T1297:AB1297"/>
    <mergeCell ref="AC1297:AG1297"/>
    <mergeCell ref="AH1297:AJ1297"/>
    <mergeCell ref="AK1297:AM1297"/>
    <mergeCell ref="AN1297:AS1297"/>
    <mergeCell ref="C1300:L1300"/>
    <mergeCell ref="M1300:P1300"/>
    <mergeCell ref="Q1300:S1300"/>
    <mergeCell ref="T1300:AB1300"/>
    <mergeCell ref="AC1300:AG1300"/>
    <mergeCell ref="AH1300:AJ1300"/>
    <mergeCell ref="AK1300:AM1300"/>
    <mergeCell ref="AN1300:AS1300"/>
    <mergeCell ref="C1301:L1301"/>
    <mergeCell ref="M1301:P1301"/>
    <mergeCell ref="Q1301:S1301"/>
    <mergeCell ref="T1301:AB1301"/>
    <mergeCell ref="AC1301:AG1301"/>
    <mergeCell ref="AH1301:AJ1301"/>
    <mergeCell ref="AK1301:AM1301"/>
    <mergeCell ref="AN1301:AS1301"/>
    <mergeCell ref="C1302:L1302"/>
    <mergeCell ref="M1302:P1302"/>
    <mergeCell ref="Q1302:S1302"/>
    <mergeCell ref="T1302:AB1302"/>
    <mergeCell ref="AC1302:AG1302"/>
    <mergeCell ref="AH1302:AJ1302"/>
    <mergeCell ref="AK1302:AM1302"/>
    <mergeCell ref="AN1302:AS1302"/>
    <mergeCell ref="C1303:L1303"/>
    <mergeCell ref="M1303:P1303"/>
    <mergeCell ref="Q1303:S1303"/>
    <mergeCell ref="T1303:AB1303"/>
    <mergeCell ref="AC1303:AG1303"/>
    <mergeCell ref="AH1303:AJ1303"/>
    <mergeCell ref="AK1303:AM1303"/>
    <mergeCell ref="AN1303:AS1303"/>
    <mergeCell ref="C1304:L1304"/>
    <mergeCell ref="M1304:P1304"/>
    <mergeCell ref="Q1304:S1304"/>
    <mergeCell ref="T1304:AB1304"/>
    <mergeCell ref="AC1304:AG1304"/>
    <mergeCell ref="AH1304:AJ1304"/>
    <mergeCell ref="AK1304:AM1304"/>
    <mergeCell ref="AN1304:AS1304"/>
    <mergeCell ref="C1305:L1305"/>
    <mergeCell ref="M1305:P1305"/>
    <mergeCell ref="Q1305:S1305"/>
    <mergeCell ref="T1305:AB1305"/>
    <mergeCell ref="AC1305:AG1305"/>
    <mergeCell ref="AH1305:AJ1305"/>
    <mergeCell ref="AK1305:AM1305"/>
    <mergeCell ref="AN1305:AS1305"/>
    <mergeCell ref="C1307:AS1307"/>
    <mergeCell ref="C1308:L1308"/>
    <mergeCell ref="M1308:P1308"/>
    <mergeCell ref="Q1308:S1308"/>
    <mergeCell ref="T1308:AB1308"/>
    <mergeCell ref="AC1308:AG1308"/>
    <mergeCell ref="AH1308:AJ1308"/>
    <mergeCell ref="AK1308:AM1308"/>
    <mergeCell ref="AN1308:AS1308"/>
    <mergeCell ref="C1309:L1309"/>
    <mergeCell ref="M1309:P1309"/>
    <mergeCell ref="Q1309:S1309"/>
    <mergeCell ref="T1309:AB1309"/>
    <mergeCell ref="AC1309:AG1309"/>
    <mergeCell ref="AH1309:AJ1309"/>
    <mergeCell ref="AK1309:AM1309"/>
    <mergeCell ref="AN1309:AS1309"/>
    <mergeCell ref="C1310:L1310"/>
    <mergeCell ref="M1310:P1310"/>
    <mergeCell ref="Q1310:S1310"/>
    <mergeCell ref="T1310:AB1310"/>
    <mergeCell ref="AC1310:AG1310"/>
    <mergeCell ref="AH1310:AJ1310"/>
    <mergeCell ref="AK1310:AM1310"/>
    <mergeCell ref="AN1310:AS1310"/>
    <mergeCell ref="C1311:L1311"/>
    <mergeCell ref="M1311:P1311"/>
    <mergeCell ref="Q1311:S1311"/>
    <mergeCell ref="T1311:AB1311"/>
    <mergeCell ref="AC1311:AG1311"/>
    <mergeCell ref="AH1311:AJ1311"/>
    <mergeCell ref="AK1311:AM1311"/>
    <mergeCell ref="AN1311:AS1311"/>
    <mergeCell ref="C1312:L1312"/>
    <mergeCell ref="M1312:P1312"/>
    <mergeCell ref="Q1312:S1312"/>
    <mergeCell ref="T1312:AB1312"/>
    <mergeCell ref="AC1312:AG1312"/>
    <mergeCell ref="AH1312:AJ1312"/>
    <mergeCell ref="AK1312:AM1312"/>
    <mergeCell ref="AN1312:AS1312"/>
    <mergeCell ref="C1313:L1313"/>
    <mergeCell ref="M1313:P1313"/>
    <mergeCell ref="Q1313:S1313"/>
    <mergeCell ref="T1313:AB1313"/>
    <mergeCell ref="AC1313:AG1313"/>
    <mergeCell ref="AH1313:AJ1313"/>
    <mergeCell ref="AK1313:AM1313"/>
    <mergeCell ref="AN1313:AS1313"/>
    <mergeCell ref="C1314:L1314"/>
    <mergeCell ref="M1314:P1314"/>
    <mergeCell ref="Q1314:S1314"/>
    <mergeCell ref="T1314:AB1314"/>
    <mergeCell ref="AC1314:AG1314"/>
    <mergeCell ref="AH1314:AJ1314"/>
    <mergeCell ref="AK1314:AM1314"/>
    <mergeCell ref="AN1314:AS1314"/>
    <mergeCell ref="C1315:L1315"/>
    <mergeCell ref="M1315:P1315"/>
    <mergeCell ref="Q1315:S1315"/>
    <mergeCell ref="T1315:AB1315"/>
    <mergeCell ref="AC1315:AG1315"/>
    <mergeCell ref="AH1315:AJ1315"/>
    <mergeCell ref="AK1315:AM1315"/>
    <mergeCell ref="AN1315:AS1315"/>
    <mergeCell ref="C1316:L1316"/>
    <mergeCell ref="M1316:P1316"/>
    <mergeCell ref="Q1316:S1316"/>
    <mergeCell ref="T1316:AB1316"/>
    <mergeCell ref="AC1316:AG1316"/>
    <mergeCell ref="AH1316:AJ1316"/>
    <mergeCell ref="AK1316:AM1316"/>
    <mergeCell ref="AN1316:AS1316"/>
    <mergeCell ref="C1317:L1317"/>
    <mergeCell ref="M1317:P1317"/>
    <mergeCell ref="Q1317:S1317"/>
    <mergeCell ref="T1317:AB1317"/>
    <mergeCell ref="AC1317:AG1317"/>
    <mergeCell ref="AH1317:AJ1317"/>
    <mergeCell ref="AK1317:AM1317"/>
    <mergeCell ref="AN1317:AS1317"/>
    <mergeCell ref="C1318:L1318"/>
    <mergeCell ref="M1318:P1318"/>
    <mergeCell ref="Q1318:S1318"/>
    <mergeCell ref="T1318:AB1318"/>
    <mergeCell ref="AC1318:AG1318"/>
    <mergeCell ref="AH1318:AJ1318"/>
    <mergeCell ref="AK1318:AM1318"/>
    <mergeCell ref="AN1318:AS1318"/>
    <mergeCell ref="C1333:AS1333"/>
    <mergeCell ref="C1335:L1335"/>
    <mergeCell ref="M1335:P1335"/>
    <mergeCell ref="Q1335:S1335"/>
    <mergeCell ref="T1335:AB1335"/>
    <mergeCell ref="AC1335:AG1335"/>
    <mergeCell ref="AH1335:AJ1335"/>
    <mergeCell ref="AK1335:AM1335"/>
    <mergeCell ref="AN1335:AS1335"/>
    <mergeCell ref="C1336:L1336"/>
    <mergeCell ref="M1336:P1336"/>
    <mergeCell ref="Q1336:S1336"/>
    <mergeCell ref="T1336:AB1336"/>
    <mergeCell ref="AC1336:AG1336"/>
    <mergeCell ref="AH1336:AJ1336"/>
    <mergeCell ref="AK1336:AM1336"/>
    <mergeCell ref="AN1336:AS1336"/>
    <mergeCell ref="C1334:L1334"/>
    <mergeCell ref="M1334:P1334"/>
    <mergeCell ref="Q1334:S1334"/>
    <mergeCell ref="T1334:AB1334"/>
    <mergeCell ref="AC1334:AG1334"/>
    <mergeCell ref="AH1334:AJ1334"/>
    <mergeCell ref="AK1334:AM1334"/>
    <mergeCell ref="AN1334:AT1334"/>
    <mergeCell ref="C1337:L1337"/>
    <mergeCell ref="M1337:P1337"/>
    <mergeCell ref="Q1337:S1337"/>
    <mergeCell ref="T1337:AB1337"/>
    <mergeCell ref="AC1337:AG1337"/>
    <mergeCell ref="AH1337:AJ1337"/>
    <mergeCell ref="AK1337:AM1337"/>
    <mergeCell ref="AN1337:AS1337"/>
    <mergeCell ref="C1338:L1338"/>
    <mergeCell ref="M1338:P1338"/>
    <mergeCell ref="Q1338:S1338"/>
    <mergeCell ref="T1338:AB1338"/>
    <mergeCell ref="AC1338:AG1338"/>
    <mergeCell ref="AH1338:AJ1338"/>
    <mergeCell ref="AK1338:AM1338"/>
    <mergeCell ref="AN1338:AS1338"/>
    <mergeCell ref="C1339:L1339"/>
    <mergeCell ref="M1339:P1339"/>
    <mergeCell ref="Q1339:S1339"/>
    <mergeCell ref="T1339:AB1339"/>
    <mergeCell ref="AC1339:AG1339"/>
    <mergeCell ref="AH1339:AJ1339"/>
    <mergeCell ref="AK1339:AM1339"/>
    <mergeCell ref="AN1339:AS1339"/>
    <mergeCell ref="C1340:L1340"/>
    <mergeCell ref="M1340:P1340"/>
    <mergeCell ref="Q1340:S1340"/>
    <mergeCell ref="T1340:AB1340"/>
    <mergeCell ref="AC1340:AG1340"/>
    <mergeCell ref="AH1340:AJ1340"/>
    <mergeCell ref="AK1340:AM1340"/>
    <mergeCell ref="AN1340:AS1340"/>
    <mergeCell ref="C1341:L1341"/>
    <mergeCell ref="M1341:P1341"/>
    <mergeCell ref="Q1341:S1341"/>
    <mergeCell ref="T1341:AB1341"/>
    <mergeCell ref="AC1341:AG1341"/>
    <mergeCell ref="AH1341:AJ1341"/>
    <mergeCell ref="AK1341:AM1341"/>
    <mergeCell ref="AN1341:AS1341"/>
    <mergeCell ref="C1342:L1342"/>
    <mergeCell ref="M1342:P1342"/>
    <mergeCell ref="Q1342:S1342"/>
    <mergeCell ref="T1342:AB1342"/>
    <mergeCell ref="AC1342:AG1342"/>
    <mergeCell ref="AH1342:AJ1342"/>
    <mergeCell ref="AK1342:AM1342"/>
    <mergeCell ref="AN1342:AS1342"/>
    <mergeCell ref="C1343:L1343"/>
    <mergeCell ref="M1343:P1343"/>
    <mergeCell ref="Q1343:S1343"/>
    <mergeCell ref="T1343:AB1343"/>
    <mergeCell ref="AC1343:AG1343"/>
    <mergeCell ref="AH1343:AJ1343"/>
    <mergeCell ref="AK1343:AM1343"/>
    <mergeCell ref="AN1343:AS1343"/>
    <mergeCell ref="C1344:L1344"/>
    <mergeCell ref="M1344:P1344"/>
    <mergeCell ref="Q1344:S1344"/>
    <mergeCell ref="T1344:AB1344"/>
    <mergeCell ref="AC1344:AG1344"/>
    <mergeCell ref="AH1344:AJ1344"/>
    <mergeCell ref="AK1344:AM1344"/>
    <mergeCell ref="AN1344:AS1344"/>
    <mergeCell ref="C1356:AS1356"/>
    <mergeCell ref="C1351:L1351"/>
    <mergeCell ref="C1352:L1352"/>
    <mergeCell ref="C1353:L1353"/>
    <mergeCell ref="C1354:L1354"/>
    <mergeCell ref="C1355:L1355"/>
    <mergeCell ref="M1351:P1351"/>
    <mergeCell ref="M1352:P1352"/>
    <mergeCell ref="M1353:P1353"/>
    <mergeCell ref="M1354:P1354"/>
    <mergeCell ref="M1355:P1355"/>
    <mergeCell ref="Q1351:S1351"/>
    <mergeCell ref="Q1352:S1352"/>
    <mergeCell ref="Q1353:S1353"/>
    <mergeCell ref="Q1354:S1354"/>
    <mergeCell ref="Q1355:S1355"/>
    <mergeCell ref="C1362:L1362"/>
    <mergeCell ref="M1362:P1362"/>
    <mergeCell ref="Q1362:S1362"/>
    <mergeCell ref="T1362:AB1362"/>
    <mergeCell ref="AC1362:AG1362"/>
    <mergeCell ref="AH1362:AJ1362"/>
    <mergeCell ref="AK1362:AM1362"/>
    <mergeCell ref="AN1362:AS1362"/>
    <mergeCell ref="C1357:L1357"/>
    <mergeCell ref="M1357:P1357"/>
    <mergeCell ref="Q1357:S1357"/>
    <mergeCell ref="T1357:AB1357"/>
    <mergeCell ref="AC1357:AG1357"/>
    <mergeCell ref="AH1357:AJ1357"/>
    <mergeCell ref="AK1357:AM1357"/>
    <mergeCell ref="AN1357:AS1357"/>
    <mergeCell ref="C1358:L1358"/>
    <mergeCell ref="M1358:P1358"/>
    <mergeCell ref="Q1358:S1358"/>
    <mergeCell ref="T1358:AB1358"/>
    <mergeCell ref="AC1358:AG1358"/>
    <mergeCell ref="AH1358:AJ1358"/>
    <mergeCell ref="AK1358:AM1358"/>
    <mergeCell ref="AN1358:AS1358"/>
    <mergeCell ref="C1359:L1359"/>
    <mergeCell ref="M1359:P1359"/>
    <mergeCell ref="Q1359:S1359"/>
    <mergeCell ref="T1359:AB1359"/>
    <mergeCell ref="AC1359:AG1359"/>
    <mergeCell ref="AH1359:AJ1359"/>
    <mergeCell ref="AK1359:AM1359"/>
    <mergeCell ref="AN1359:AS1359"/>
    <mergeCell ref="C1363:L1363"/>
    <mergeCell ref="M1363:P1363"/>
    <mergeCell ref="Q1363:S1363"/>
    <mergeCell ref="T1363:AB1363"/>
    <mergeCell ref="AC1363:AG1363"/>
    <mergeCell ref="AH1363:AJ1363"/>
    <mergeCell ref="AK1363:AM1363"/>
    <mergeCell ref="AN1363:AS1363"/>
    <mergeCell ref="C1364:L1364"/>
    <mergeCell ref="M1364:P1364"/>
    <mergeCell ref="Q1364:S1364"/>
    <mergeCell ref="T1364:AB1364"/>
    <mergeCell ref="AC1364:AG1364"/>
    <mergeCell ref="AH1364:AJ1364"/>
    <mergeCell ref="AK1364:AM1364"/>
    <mergeCell ref="AN1364:AS1364"/>
    <mergeCell ref="C1360:L1360"/>
    <mergeCell ref="M1360:P1360"/>
    <mergeCell ref="Q1360:S1360"/>
    <mergeCell ref="T1360:AB1360"/>
    <mergeCell ref="AC1360:AG1360"/>
    <mergeCell ref="AH1360:AJ1360"/>
    <mergeCell ref="AK1360:AM1360"/>
    <mergeCell ref="AN1360:AS1360"/>
    <mergeCell ref="C1361:L1361"/>
    <mergeCell ref="M1361:P1361"/>
    <mergeCell ref="Q1361:S1361"/>
    <mergeCell ref="T1361:AB1361"/>
    <mergeCell ref="AC1361:AG1361"/>
    <mergeCell ref="AH1361:AJ1361"/>
    <mergeCell ref="AK1361:AM1361"/>
    <mergeCell ref="AN1361:AS1361"/>
    <mergeCell ref="C1370:L1370"/>
    <mergeCell ref="M1370:P1370"/>
    <mergeCell ref="Q1370:S1370"/>
    <mergeCell ref="T1370:AB1370"/>
    <mergeCell ref="AC1370:AG1370"/>
    <mergeCell ref="AH1370:AJ1370"/>
    <mergeCell ref="AK1370:AM1370"/>
    <mergeCell ref="AN1370:AS1370"/>
    <mergeCell ref="C1365:L1365"/>
    <mergeCell ref="M1365:P1365"/>
    <mergeCell ref="Q1365:S1365"/>
    <mergeCell ref="T1365:AB1365"/>
    <mergeCell ref="AC1365:AG1365"/>
    <mergeCell ref="AH1365:AJ1365"/>
    <mergeCell ref="AK1365:AM1365"/>
    <mergeCell ref="AN1365:AS1365"/>
    <mergeCell ref="C1366:L1366"/>
    <mergeCell ref="M1366:P1366"/>
    <mergeCell ref="Q1366:S1366"/>
    <mergeCell ref="T1366:AB1366"/>
    <mergeCell ref="AC1366:AG1366"/>
    <mergeCell ref="AH1366:AJ1366"/>
    <mergeCell ref="AK1366:AM1366"/>
    <mergeCell ref="AN1366:AS1366"/>
    <mergeCell ref="C1367:L1367"/>
    <mergeCell ref="M1367:P1367"/>
    <mergeCell ref="Q1367:S1367"/>
    <mergeCell ref="T1367:AB1367"/>
    <mergeCell ref="AC1367:AG1367"/>
    <mergeCell ref="AH1367:AJ1367"/>
    <mergeCell ref="AK1367:AM1367"/>
    <mergeCell ref="AN1367:AS1367"/>
    <mergeCell ref="C1371:L1371"/>
    <mergeCell ref="M1371:P1371"/>
    <mergeCell ref="Q1371:S1371"/>
    <mergeCell ref="T1371:AB1371"/>
    <mergeCell ref="AC1371:AG1371"/>
    <mergeCell ref="AH1371:AJ1371"/>
    <mergeCell ref="AK1371:AM1371"/>
    <mergeCell ref="AN1371:AS1371"/>
    <mergeCell ref="C1372:L1372"/>
    <mergeCell ref="M1372:P1372"/>
    <mergeCell ref="Q1372:S1372"/>
    <mergeCell ref="T1372:AB1372"/>
    <mergeCell ref="AC1372:AG1372"/>
    <mergeCell ref="AH1372:AJ1372"/>
    <mergeCell ref="AK1372:AM1372"/>
    <mergeCell ref="AN1372:AS1372"/>
    <mergeCell ref="C1368:L1368"/>
    <mergeCell ref="M1368:P1368"/>
    <mergeCell ref="Q1368:S1368"/>
    <mergeCell ref="T1368:AB1368"/>
    <mergeCell ref="AC1368:AG1368"/>
    <mergeCell ref="AH1368:AJ1368"/>
    <mergeCell ref="AK1368:AM1368"/>
    <mergeCell ref="AN1368:AS1368"/>
    <mergeCell ref="C1369:L1369"/>
    <mergeCell ref="M1369:P1369"/>
    <mergeCell ref="Q1369:S1369"/>
    <mergeCell ref="T1369:AB1369"/>
    <mergeCell ref="AC1369:AG1369"/>
    <mergeCell ref="AH1369:AJ1369"/>
    <mergeCell ref="AK1369:AM1369"/>
    <mergeCell ref="AN1369:AS1369"/>
    <mergeCell ref="C1377:L1377"/>
    <mergeCell ref="M1377:P1377"/>
    <mergeCell ref="Q1377:S1377"/>
    <mergeCell ref="T1377:AB1377"/>
    <mergeCell ref="AC1377:AG1377"/>
    <mergeCell ref="AH1377:AJ1377"/>
    <mergeCell ref="AK1377:AM1377"/>
    <mergeCell ref="AN1377:AS1377"/>
    <mergeCell ref="C1373:L1373"/>
    <mergeCell ref="M1373:P1373"/>
    <mergeCell ref="Q1373:S1373"/>
    <mergeCell ref="T1373:AB1373"/>
    <mergeCell ref="AC1373:AG1373"/>
    <mergeCell ref="AH1373:AJ1373"/>
    <mergeCell ref="AK1373:AM1373"/>
    <mergeCell ref="AN1373:AS1373"/>
    <mergeCell ref="C1374:L1374"/>
    <mergeCell ref="M1374:P1374"/>
    <mergeCell ref="Q1374:S1374"/>
    <mergeCell ref="T1374:AB1374"/>
    <mergeCell ref="AC1374:AG1374"/>
    <mergeCell ref="AH1374:AJ1374"/>
    <mergeCell ref="AK1374:AM1374"/>
    <mergeCell ref="AN1374:AS1374"/>
    <mergeCell ref="C1378:L1378"/>
    <mergeCell ref="M1378:P1378"/>
    <mergeCell ref="Q1378:S1378"/>
    <mergeCell ref="T1378:AB1378"/>
    <mergeCell ref="AC1378:AG1378"/>
    <mergeCell ref="AH1378:AJ1378"/>
    <mergeCell ref="AK1378:AM1378"/>
    <mergeCell ref="AN1378:AS1378"/>
    <mergeCell ref="C1379:L1379"/>
    <mergeCell ref="M1379:P1379"/>
    <mergeCell ref="Q1379:S1379"/>
    <mergeCell ref="T1379:AB1379"/>
    <mergeCell ref="AC1379:AG1379"/>
    <mergeCell ref="AH1379:AJ1379"/>
    <mergeCell ref="AK1379:AM1379"/>
    <mergeCell ref="AN1379:AS1379"/>
    <mergeCell ref="C1375:L1375"/>
    <mergeCell ref="M1375:P1375"/>
    <mergeCell ref="Q1375:S1375"/>
    <mergeCell ref="T1375:AB1375"/>
    <mergeCell ref="AC1375:AG1375"/>
    <mergeCell ref="AH1375:AJ1375"/>
    <mergeCell ref="AK1375:AM1375"/>
    <mergeCell ref="AN1375:AS1375"/>
    <mergeCell ref="C1376:L1376"/>
    <mergeCell ref="M1376:P1376"/>
    <mergeCell ref="Q1376:S1376"/>
    <mergeCell ref="T1376:AB1376"/>
    <mergeCell ref="AC1376:AG1376"/>
    <mergeCell ref="AH1376:AJ1376"/>
    <mergeCell ref="AK1376:AM1376"/>
    <mergeCell ref="AN1376:AS1376"/>
    <mergeCell ref="C1380:L1380"/>
    <mergeCell ref="M1380:P1380"/>
    <mergeCell ref="Q1380:S1380"/>
    <mergeCell ref="T1380:AB1380"/>
    <mergeCell ref="AC1380:AG1380"/>
    <mergeCell ref="AH1380:AJ1380"/>
    <mergeCell ref="AK1380:AM1380"/>
    <mergeCell ref="AN1380:AS1380"/>
    <mergeCell ref="C1381:L1381"/>
    <mergeCell ref="M1381:P1381"/>
    <mergeCell ref="Q1381:S1381"/>
    <mergeCell ref="T1381:AB1381"/>
    <mergeCell ref="AC1381:AG1381"/>
    <mergeCell ref="AH1381:AJ1381"/>
    <mergeCell ref="AK1381:AM1381"/>
    <mergeCell ref="AN1381:AS1381"/>
    <mergeCell ref="C1382:L1382"/>
    <mergeCell ref="M1382:P1382"/>
    <mergeCell ref="Q1382:S1382"/>
    <mergeCell ref="T1382:AB1382"/>
    <mergeCell ref="AC1382:AG1382"/>
    <mergeCell ref="AH1382:AJ1382"/>
    <mergeCell ref="AK1382:AM1382"/>
    <mergeCell ref="AN1382:AS1382"/>
    <mergeCell ref="C1383:L1383"/>
    <mergeCell ref="M1383:P1383"/>
    <mergeCell ref="Q1383:S1383"/>
    <mergeCell ref="T1383:AB1383"/>
    <mergeCell ref="AC1383:AG1383"/>
    <mergeCell ref="AH1383:AJ1383"/>
    <mergeCell ref="AK1383:AM1383"/>
    <mergeCell ref="AN1383:AS1383"/>
    <mergeCell ref="C1384:L1384"/>
    <mergeCell ref="M1384:P1384"/>
    <mergeCell ref="Q1384:S1384"/>
    <mergeCell ref="T1384:AB1384"/>
    <mergeCell ref="AC1384:AG1384"/>
    <mergeCell ref="AH1384:AJ1384"/>
    <mergeCell ref="AK1384:AM1384"/>
    <mergeCell ref="AN1384:AS1384"/>
    <mergeCell ref="C1385:L1385"/>
    <mergeCell ref="M1385:P1385"/>
    <mergeCell ref="Q1385:S1385"/>
    <mergeCell ref="T1385:AB1385"/>
    <mergeCell ref="AC1385:AG1385"/>
    <mergeCell ref="AH1385:AJ1385"/>
    <mergeCell ref="AK1385:AM1385"/>
    <mergeCell ref="AN1385:AS1385"/>
    <mergeCell ref="AK1392:AM1392"/>
    <mergeCell ref="AN1392:AS1392"/>
    <mergeCell ref="C1390:L1390"/>
    <mergeCell ref="M1390:P1390"/>
    <mergeCell ref="Q1390:S1390"/>
    <mergeCell ref="T1390:AB1390"/>
    <mergeCell ref="AC1390:AG1390"/>
    <mergeCell ref="AH1390:AJ1390"/>
    <mergeCell ref="AK1390:AM1390"/>
    <mergeCell ref="AN1390:AS1390"/>
    <mergeCell ref="C1386:L1386"/>
    <mergeCell ref="M1386:P1386"/>
    <mergeCell ref="Q1386:S1386"/>
    <mergeCell ref="T1386:AB1386"/>
    <mergeCell ref="AC1386:AG1386"/>
    <mergeCell ref="AH1386:AJ1386"/>
    <mergeCell ref="AK1386:AM1386"/>
    <mergeCell ref="AN1386:AS1386"/>
    <mergeCell ref="C1387:L1387"/>
    <mergeCell ref="M1387:P1387"/>
    <mergeCell ref="Q1387:S1387"/>
    <mergeCell ref="T1387:AB1387"/>
    <mergeCell ref="AC1387:AG1387"/>
    <mergeCell ref="AH1387:AJ1387"/>
    <mergeCell ref="AK1387:AM1387"/>
    <mergeCell ref="AN1387:AS1387"/>
    <mergeCell ref="C1393:L1393"/>
    <mergeCell ref="M1393:P1393"/>
    <mergeCell ref="Q1393:S1393"/>
    <mergeCell ref="T1393:AB1393"/>
    <mergeCell ref="AC1393:AG1393"/>
    <mergeCell ref="AH1393:AJ1393"/>
    <mergeCell ref="AK1393:AM1393"/>
    <mergeCell ref="AN1393:AS1393"/>
    <mergeCell ref="C1394:L1394"/>
    <mergeCell ref="M1394:P1394"/>
    <mergeCell ref="Q1394:S1394"/>
    <mergeCell ref="T1394:AB1394"/>
    <mergeCell ref="AC1394:AG1394"/>
    <mergeCell ref="AH1394:AJ1394"/>
    <mergeCell ref="AK1394:AM1394"/>
    <mergeCell ref="AN1394:AS1394"/>
    <mergeCell ref="C1395:L1395"/>
    <mergeCell ref="M1395:P1395"/>
    <mergeCell ref="Q1395:S1395"/>
    <mergeCell ref="T1395:AB1395"/>
    <mergeCell ref="AC1395:AG1395"/>
    <mergeCell ref="AH1395:AJ1395"/>
    <mergeCell ref="AK1395:AM1395"/>
    <mergeCell ref="AN1395:AS1395"/>
    <mergeCell ref="C1396:L1396"/>
    <mergeCell ref="M1396:P1396"/>
    <mergeCell ref="Q1396:S1396"/>
    <mergeCell ref="T1396:AB1396"/>
    <mergeCell ref="AC1396:AG1396"/>
    <mergeCell ref="AH1396:AJ1396"/>
    <mergeCell ref="AK1396:AM1396"/>
    <mergeCell ref="AN1396:AS1396"/>
    <mergeCell ref="C1397:L1397"/>
    <mergeCell ref="M1397:P1397"/>
    <mergeCell ref="Q1397:S1397"/>
    <mergeCell ref="T1397:AB1397"/>
    <mergeCell ref="AC1397:AG1397"/>
    <mergeCell ref="AH1397:AJ1397"/>
    <mergeCell ref="AK1397:AM1397"/>
    <mergeCell ref="AN1397:AS1397"/>
    <mergeCell ref="C1398:L1398"/>
    <mergeCell ref="M1398:P1398"/>
    <mergeCell ref="Q1398:S1398"/>
    <mergeCell ref="T1398:AB1398"/>
    <mergeCell ref="AC1398:AG1398"/>
    <mergeCell ref="AH1398:AJ1398"/>
    <mergeCell ref="AK1398:AM1398"/>
    <mergeCell ref="AN1398:AS1398"/>
    <mergeCell ref="C1399:L1399"/>
    <mergeCell ref="M1399:P1399"/>
    <mergeCell ref="Q1399:S1399"/>
    <mergeCell ref="T1399:AB1399"/>
    <mergeCell ref="AC1399:AG1399"/>
    <mergeCell ref="AH1399:AJ1399"/>
    <mergeCell ref="AK1399:AM1399"/>
    <mergeCell ref="AN1399:AS1399"/>
    <mergeCell ref="C1400:L1400"/>
    <mergeCell ref="M1400:P1400"/>
    <mergeCell ref="Q1400:S1400"/>
    <mergeCell ref="T1400:AB1400"/>
    <mergeCell ref="AC1400:AG1400"/>
    <mergeCell ref="AH1400:AJ1400"/>
    <mergeCell ref="AK1400:AM1400"/>
    <mergeCell ref="AN1400:AS1400"/>
    <mergeCell ref="C1401:L1401"/>
    <mergeCell ref="M1401:P1401"/>
    <mergeCell ref="Q1401:S1401"/>
    <mergeCell ref="T1401:AB1401"/>
    <mergeCell ref="AC1401:AG1401"/>
    <mergeCell ref="AH1401:AJ1401"/>
    <mergeCell ref="AK1401:AM1401"/>
    <mergeCell ref="AN1401:AS1401"/>
    <mergeCell ref="C1402:L1402"/>
    <mergeCell ref="M1402:P1402"/>
    <mergeCell ref="Q1402:S1402"/>
    <mergeCell ref="T1402:AB1402"/>
    <mergeCell ref="AC1402:AG1402"/>
    <mergeCell ref="AH1402:AJ1402"/>
    <mergeCell ref="AK1402:AM1402"/>
    <mergeCell ref="AN1402:AS1402"/>
    <mergeCell ref="C1403:L1403"/>
    <mergeCell ref="M1403:P1403"/>
    <mergeCell ref="Q1403:S1403"/>
    <mergeCell ref="T1403:AB1403"/>
    <mergeCell ref="AC1403:AG1403"/>
    <mergeCell ref="AH1403:AJ1403"/>
    <mergeCell ref="AK1403:AM1403"/>
    <mergeCell ref="AN1403:AS1403"/>
    <mergeCell ref="C1404:L1404"/>
    <mergeCell ref="M1404:P1404"/>
    <mergeCell ref="Q1404:S1404"/>
    <mergeCell ref="T1404:AB1404"/>
    <mergeCell ref="AC1404:AG1404"/>
    <mergeCell ref="AH1404:AJ1404"/>
    <mergeCell ref="AK1404:AM1404"/>
    <mergeCell ref="AN1404:AS1404"/>
    <mergeCell ref="M1405:P1405"/>
    <mergeCell ref="Q1405:S1405"/>
    <mergeCell ref="T1405:AB1405"/>
    <mergeCell ref="AC1405:AG1405"/>
    <mergeCell ref="AH1405:AJ1405"/>
    <mergeCell ref="AK1405:AM1405"/>
    <mergeCell ref="AN1405:AS1405"/>
    <mergeCell ref="C1406:L1406"/>
    <mergeCell ref="M1406:P1406"/>
    <mergeCell ref="Q1406:S1406"/>
    <mergeCell ref="T1406:AB1406"/>
    <mergeCell ref="AK1406:AM1406"/>
    <mergeCell ref="AN1406:AS1406"/>
    <mergeCell ref="AC1406:AG1406"/>
    <mergeCell ref="AH1406:AJ1406"/>
    <mergeCell ref="AK1415:AM1415"/>
    <mergeCell ref="AH1414:AJ1414"/>
    <mergeCell ref="AN1410:AS1410"/>
    <mergeCell ref="T1413:AB1413"/>
    <mergeCell ref="T1414:AB1414"/>
    <mergeCell ref="AC1411:AG1411"/>
    <mergeCell ref="AC1412:AG1412"/>
    <mergeCell ref="AC1413:AG1413"/>
    <mergeCell ref="C1411:L1411"/>
    <mergeCell ref="C1412:L1412"/>
    <mergeCell ref="C1413:L1413"/>
    <mergeCell ref="C1414:L1414"/>
    <mergeCell ref="M1411:P1411"/>
    <mergeCell ref="C1410:L1410"/>
    <mergeCell ref="M1410:P1410"/>
    <mergeCell ref="Q1410:S1410"/>
    <mergeCell ref="C1425:L1425"/>
    <mergeCell ref="M1425:P1425"/>
    <mergeCell ref="Q1425:S1425"/>
    <mergeCell ref="T1425:AB1425"/>
    <mergeCell ref="AC1425:AG1425"/>
    <mergeCell ref="AH1425:AJ1425"/>
    <mergeCell ref="AK1425:AM1425"/>
    <mergeCell ref="AN1425:AS1425"/>
    <mergeCell ref="M1420:P1420"/>
    <mergeCell ref="Q1420:S1420"/>
    <mergeCell ref="T1420:AB1420"/>
    <mergeCell ref="AC1420:AG1420"/>
    <mergeCell ref="AH1420:AJ1420"/>
    <mergeCell ref="AK1420:AM1420"/>
    <mergeCell ref="AN1420:AS1420"/>
    <mergeCell ref="C1420:L1420"/>
    <mergeCell ref="AK1411:AM1411"/>
    <mergeCell ref="AK1412:AM1412"/>
    <mergeCell ref="AK1413:AM1413"/>
    <mergeCell ref="AK1414:AM1414"/>
    <mergeCell ref="AN1411:AS1411"/>
    <mergeCell ref="AN1412:AS1412"/>
    <mergeCell ref="AN1413:AS1413"/>
    <mergeCell ref="AN1414:AS1414"/>
    <mergeCell ref="M1415:P1415"/>
    <mergeCell ref="T1412:AB1412"/>
    <mergeCell ref="AK1422:AM1422"/>
    <mergeCell ref="AC1414:AG1414"/>
    <mergeCell ref="AH1411:AJ1411"/>
    <mergeCell ref="AH1412:AJ1412"/>
    <mergeCell ref="AH1413:AJ1413"/>
    <mergeCell ref="AN1416:AS1416"/>
    <mergeCell ref="Q1417:S1417"/>
    <mergeCell ref="T1417:AB1417"/>
    <mergeCell ref="AC1417:AG1417"/>
    <mergeCell ref="AH1417:AJ1417"/>
    <mergeCell ref="AK1417:AM1417"/>
    <mergeCell ref="AN1417:AS1417"/>
    <mergeCell ref="Q1415:S1415"/>
    <mergeCell ref="T1415:AB1415"/>
    <mergeCell ref="AC1415:AG1415"/>
    <mergeCell ref="AH1415:AJ1415"/>
    <mergeCell ref="AN1415:AS1415"/>
    <mergeCell ref="M1416:P1416"/>
    <mergeCell ref="Q1419:S1419"/>
    <mergeCell ref="T1419:AB1419"/>
    <mergeCell ref="AN542:AS542"/>
    <mergeCell ref="C1389:AS1389"/>
    <mergeCell ref="C1391:L1391"/>
    <mergeCell ref="M1391:P1391"/>
    <mergeCell ref="Q1391:S1391"/>
    <mergeCell ref="T1391:AB1391"/>
    <mergeCell ref="AC1391:AG1391"/>
    <mergeCell ref="AH1391:AJ1391"/>
    <mergeCell ref="AK1391:AM1391"/>
    <mergeCell ref="AN1391:AS1391"/>
    <mergeCell ref="C1392:L1392"/>
    <mergeCell ref="M1392:P1392"/>
    <mergeCell ref="Q1392:S1392"/>
    <mergeCell ref="T1392:AB1392"/>
    <mergeCell ref="AC1392:AG1392"/>
    <mergeCell ref="AH1392:AJ1392"/>
    <mergeCell ref="C1416:L1416"/>
    <mergeCell ref="C1405:L1405"/>
    <mergeCell ref="T1410:AB1410"/>
    <mergeCell ref="AC1410:AG1410"/>
    <mergeCell ref="AH1410:AJ1410"/>
    <mergeCell ref="AK1410:AM1410"/>
    <mergeCell ref="Q1416:S1416"/>
    <mergeCell ref="T1416:AB1416"/>
    <mergeCell ref="AC1416:AG1416"/>
    <mergeCell ref="AH1416:AJ1416"/>
    <mergeCell ref="C1415:L1415"/>
    <mergeCell ref="M1412:P1412"/>
    <mergeCell ref="M1413:P1413"/>
    <mergeCell ref="M1414:P1414"/>
    <mergeCell ref="Q1411:S1411"/>
    <mergeCell ref="Q1412:S1412"/>
    <mergeCell ref="Q1413:S1413"/>
    <mergeCell ref="Q1414:S1414"/>
    <mergeCell ref="T1411:AB1411"/>
    <mergeCell ref="AK1416:AM1416"/>
    <mergeCell ref="AN1423:AS1423"/>
    <mergeCell ref="C1424:L1424"/>
    <mergeCell ref="M1424:P1424"/>
    <mergeCell ref="Q1424:S1424"/>
    <mergeCell ref="T1424:AB1424"/>
    <mergeCell ref="AC1424:AG1424"/>
    <mergeCell ref="AH1424:AJ1424"/>
    <mergeCell ref="AK1424:AM1424"/>
    <mergeCell ref="AN1424:AS1424"/>
    <mergeCell ref="C1417:L1417"/>
    <mergeCell ref="C1418:L1418"/>
    <mergeCell ref="C1419:L1419"/>
    <mergeCell ref="C1421:L1421"/>
    <mergeCell ref="M1421:P1421"/>
    <mergeCell ref="Q1421:S1421"/>
    <mergeCell ref="T1421:AB1421"/>
    <mergeCell ref="AC1421:AG1421"/>
    <mergeCell ref="AH1421:AJ1421"/>
    <mergeCell ref="AK1421:AM1421"/>
    <mergeCell ref="AN1421:AS1421"/>
    <mergeCell ref="C1422:L1422"/>
    <mergeCell ref="M1422:P1422"/>
    <mergeCell ref="Q1422:S1422"/>
    <mergeCell ref="T1422:AB1422"/>
    <mergeCell ref="AN1422:AS1422"/>
    <mergeCell ref="AK1419:AM1419"/>
    <mergeCell ref="AN1419:AS1419"/>
    <mergeCell ref="AC1419:AG1419"/>
    <mergeCell ref="AH1419:AJ1419"/>
    <mergeCell ref="AC1422:AG1422"/>
    <mergeCell ref="AH1422:AJ1422"/>
    <mergeCell ref="M1417:P1417"/>
    <mergeCell ref="C541:AS541"/>
    <mergeCell ref="C1426:L1426"/>
    <mergeCell ref="M1426:P1426"/>
    <mergeCell ref="Q1426:S1426"/>
    <mergeCell ref="T1426:AB1426"/>
    <mergeCell ref="AC1426:AG1426"/>
    <mergeCell ref="AH1426:AJ1426"/>
    <mergeCell ref="AK1426:AM1426"/>
    <mergeCell ref="AN1426:AS1426"/>
    <mergeCell ref="C1427:L1427"/>
    <mergeCell ref="M1427:P1427"/>
    <mergeCell ref="Q1427:S1427"/>
    <mergeCell ref="T1427:AB1427"/>
    <mergeCell ref="AC1427:AG1427"/>
    <mergeCell ref="AH1427:AJ1427"/>
    <mergeCell ref="AK1427:AM1427"/>
    <mergeCell ref="AN1427:AS1427"/>
    <mergeCell ref="M1418:P1418"/>
    <mergeCell ref="Q1418:S1418"/>
    <mergeCell ref="T1418:AB1418"/>
    <mergeCell ref="AC1418:AG1418"/>
    <mergeCell ref="AH1418:AJ1418"/>
    <mergeCell ref="AK1418:AM1418"/>
    <mergeCell ref="AN1418:AS1418"/>
    <mergeCell ref="M1419:P1419"/>
    <mergeCell ref="C1423:L1423"/>
    <mergeCell ref="M1423:P1423"/>
    <mergeCell ref="Q1423:S1423"/>
    <mergeCell ref="T1423:AB1423"/>
    <mergeCell ref="AC1423:AG1423"/>
    <mergeCell ref="AH1423:AJ1423"/>
    <mergeCell ref="AK1423:AM1423"/>
    <mergeCell ref="C529:AS529"/>
    <mergeCell ref="C531:U531"/>
    <mergeCell ref="V531:X531"/>
    <mergeCell ref="Y531:AA531"/>
    <mergeCell ref="AB531:AG531"/>
    <mergeCell ref="AH531:AM531"/>
    <mergeCell ref="AN531:AS531"/>
    <mergeCell ref="AB538:AG538"/>
    <mergeCell ref="AB539:AG539"/>
    <mergeCell ref="AN532:AS532"/>
    <mergeCell ref="AN537:AS537"/>
    <mergeCell ref="AB532:AG532"/>
    <mergeCell ref="AB533:AG533"/>
    <mergeCell ref="AB535:AG535"/>
    <mergeCell ref="V532:X532"/>
    <mergeCell ref="V533:X533"/>
    <mergeCell ref="V534:X534"/>
    <mergeCell ref="V535:X535"/>
    <mergeCell ref="V536:X536"/>
    <mergeCell ref="V537:X537"/>
    <mergeCell ref="Y532:AA532"/>
    <mergeCell ref="Y533:AA533"/>
    <mergeCell ref="Y534:AA534"/>
    <mergeCell ref="Y535:AA535"/>
    <mergeCell ref="AN538:AS538"/>
    <mergeCell ref="AN539:AS539"/>
    <mergeCell ref="V539:X539"/>
    <mergeCell ref="Y538:AA538"/>
    <mergeCell ref="Y539:AA539"/>
    <mergeCell ref="AH532:AM532"/>
    <mergeCell ref="AH533:AM533"/>
    <mergeCell ref="AH534:AM534"/>
    <mergeCell ref="AN543:AS543"/>
    <mergeCell ref="AN544:AS544"/>
    <mergeCell ref="AN545:AS545"/>
    <mergeCell ref="AN546:AS546"/>
    <mergeCell ref="C543:AG543"/>
    <mergeCell ref="C544:AG544"/>
    <mergeCell ref="C545:AG545"/>
    <mergeCell ref="C546:AG546"/>
    <mergeCell ref="AH543:AM543"/>
    <mergeCell ref="AH544:AM544"/>
    <mergeCell ref="C549:AG549"/>
    <mergeCell ref="AH549:AM549"/>
    <mergeCell ref="AN549:AS549"/>
    <mergeCell ref="C550:AG550"/>
    <mergeCell ref="C551:AG551"/>
    <mergeCell ref="AH550:AM550"/>
    <mergeCell ref="C542:AG542"/>
    <mergeCell ref="AH545:AM545"/>
    <mergeCell ref="AH546:AM546"/>
    <mergeCell ref="C548:AS548"/>
    <mergeCell ref="AN550:AS550"/>
    <mergeCell ref="AH542:AM542"/>
    <mergeCell ref="C557:U557"/>
    <mergeCell ref="AB557:AG557"/>
    <mergeCell ref="AH557:AM557"/>
    <mergeCell ref="AN557:AS557"/>
    <mergeCell ref="C558:U558"/>
    <mergeCell ref="AB558:AG558"/>
    <mergeCell ref="AH558:AM558"/>
    <mergeCell ref="V558:AA558"/>
    <mergeCell ref="V557:AA557"/>
    <mergeCell ref="AH551:AM551"/>
    <mergeCell ref="AH552:AM552"/>
    <mergeCell ref="AH553:AM553"/>
    <mergeCell ref="AN551:AS551"/>
    <mergeCell ref="AN552:AS552"/>
    <mergeCell ref="AN553:AS553"/>
    <mergeCell ref="C552:AG552"/>
    <mergeCell ref="C553:AG553"/>
    <mergeCell ref="AN559:AS559"/>
    <mergeCell ref="AN558:AS558"/>
    <mergeCell ref="AH567:AM567"/>
    <mergeCell ref="AN567:AS567"/>
    <mergeCell ref="V565:AA565"/>
    <mergeCell ref="V566:AA566"/>
    <mergeCell ref="V567:AA567"/>
    <mergeCell ref="C562:U562"/>
    <mergeCell ref="AB562:AG562"/>
    <mergeCell ref="AH562:AM562"/>
    <mergeCell ref="C563:U563"/>
    <mergeCell ref="AB563:AG563"/>
    <mergeCell ref="AH563:AM563"/>
    <mergeCell ref="C564:U564"/>
    <mergeCell ref="AB564:AG564"/>
    <mergeCell ref="AH564:AM564"/>
    <mergeCell ref="V562:AA562"/>
    <mergeCell ref="V563:AA563"/>
    <mergeCell ref="V564:AA564"/>
    <mergeCell ref="C565:U565"/>
    <mergeCell ref="AB565:AG565"/>
    <mergeCell ref="AH565:AM565"/>
    <mergeCell ref="C566:U566"/>
    <mergeCell ref="AB566:AG566"/>
    <mergeCell ref="AH566:AM566"/>
    <mergeCell ref="C567:U567"/>
    <mergeCell ref="AB567:AG567"/>
    <mergeCell ref="AN565:AS565"/>
    <mergeCell ref="AN564:AS564"/>
    <mergeCell ref="AN563:AS563"/>
    <mergeCell ref="AN562:AS562"/>
    <mergeCell ref="AN577:AS577"/>
    <mergeCell ref="C568:U568"/>
    <mergeCell ref="V568:AA568"/>
    <mergeCell ref="AB568:AG568"/>
    <mergeCell ref="AH568:AM568"/>
    <mergeCell ref="AN568:AS568"/>
    <mergeCell ref="C579:U579"/>
    <mergeCell ref="V579:AA579"/>
    <mergeCell ref="C580:U580"/>
    <mergeCell ref="V580:AA580"/>
    <mergeCell ref="C570:AS570"/>
    <mergeCell ref="C571:U571"/>
    <mergeCell ref="V571:AA571"/>
    <mergeCell ref="AB571:AM571"/>
    <mergeCell ref="AN571:AS571"/>
    <mergeCell ref="AN576:AS576"/>
    <mergeCell ref="V573:AA573"/>
    <mergeCell ref="C574:U574"/>
    <mergeCell ref="V574:AA574"/>
    <mergeCell ref="C575:U575"/>
    <mergeCell ref="V575:AA575"/>
    <mergeCell ref="C576:U576"/>
    <mergeCell ref="V576:AA576"/>
    <mergeCell ref="C577:U577"/>
    <mergeCell ref="V577:AA577"/>
    <mergeCell ref="C578:U578"/>
    <mergeCell ref="V578:AA578"/>
    <mergeCell ref="AN580:AS580"/>
    <mergeCell ref="C572:U572"/>
    <mergeCell ref="V572:AA572"/>
    <mergeCell ref="AB572:AM580"/>
    <mergeCell ref="C573:U573"/>
    <mergeCell ref="G585:I585"/>
    <mergeCell ref="J585:L585"/>
    <mergeCell ref="M585:O585"/>
    <mergeCell ref="P585:R585"/>
    <mergeCell ref="S585:U585"/>
    <mergeCell ref="V585:X585"/>
    <mergeCell ref="Y585:AA585"/>
    <mergeCell ref="AB585:AD585"/>
    <mergeCell ref="AE585:AG585"/>
    <mergeCell ref="AH585:AJ585"/>
    <mergeCell ref="AK585:AM585"/>
    <mergeCell ref="AN585:AP585"/>
    <mergeCell ref="AQ585:AS585"/>
    <mergeCell ref="C586:AS586"/>
    <mergeCell ref="C587:F587"/>
    <mergeCell ref="G587:I587"/>
    <mergeCell ref="J587:L587"/>
    <mergeCell ref="M587:O587"/>
    <mergeCell ref="P587:R587"/>
    <mergeCell ref="S587:U587"/>
    <mergeCell ref="V587:X587"/>
    <mergeCell ref="Y587:AA587"/>
    <mergeCell ref="AB587:AD587"/>
    <mergeCell ref="AE587:AG587"/>
    <mergeCell ref="AH587:AJ587"/>
    <mergeCell ref="AK587:AM587"/>
    <mergeCell ref="AN587:AP587"/>
    <mergeCell ref="AQ587:AS587"/>
    <mergeCell ref="C588:F588"/>
    <mergeCell ref="G588:I588"/>
    <mergeCell ref="J588:L588"/>
    <mergeCell ref="M588:O588"/>
    <mergeCell ref="P588:R588"/>
    <mergeCell ref="S588:U588"/>
    <mergeCell ref="V588:X588"/>
    <mergeCell ref="Y588:AA588"/>
    <mergeCell ref="AB588:AD588"/>
    <mergeCell ref="AE588:AG588"/>
    <mergeCell ref="AH588:AJ588"/>
    <mergeCell ref="AK588:AM588"/>
    <mergeCell ref="AN588:AP588"/>
    <mergeCell ref="AQ588:AS588"/>
    <mergeCell ref="C589:AS589"/>
    <mergeCell ref="C590:F590"/>
    <mergeCell ref="G590:I590"/>
    <mergeCell ref="J590:L590"/>
    <mergeCell ref="M590:O590"/>
    <mergeCell ref="P590:R590"/>
    <mergeCell ref="S590:U590"/>
    <mergeCell ref="V590:X590"/>
    <mergeCell ref="Y590:AA590"/>
    <mergeCell ref="AB590:AD590"/>
    <mergeCell ref="AE590:AG590"/>
    <mergeCell ref="AH590:AJ590"/>
    <mergeCell ref="AK590:AM590"/>
    <mergeCell ref="AN590:AP590"/>
    <mergeCell ref="AQ590:AS590"/>
    <mergeCell ref="C591:F591"/>
    <mergeCell ref="G591:I591"/>
    <mergeCell ref="J591:L591"/>
    <mergeCell ref="M591:O591"/>
    <mergeCell ref="P591:R591"/>
    <mergeCell ref="S591:U591"/>
    <mergeCell ref="V591:X591"/>
    <mergeCell ref="Y591:AA591"/>
    <mergeCell ref="AB591:AD591"/>
    <mergeCell ref="AE591:AG591"/>
    <mergeCell ref="AH591:AJ591"/>
    <mergeCell ref="AK591:AM591"/>
    <mergeCell ref="AN591:AP591"/>
    <mergeCell ref="AQ591:AS591"/>
    <mergeCell ref="G594:AS594"/>
    <mergeCell ref="G595:AS595"/>
    <mergeCell ref="G596:AJ596"/>
    <mergeCell ref="C598:AS598"/>
    <mergeCell ref="G603:I603"/>
    <mergeCell ref="J603:L603"/>
    <mergeCell ref="M603:O603"/>
    <mergeCell ref="P603:R603"/>
    <mergeCell ref="S603:U603"/>
    <mergeCell ref="V603:X603"/>
    <mergeCell ref="Y603:AA603"/>
    <mergeCell ref="AB603:AD603"/>
    <mergeCell ref="AE603:AG603"/>
    <mergeCell ref="AH603:AJ603"/>
    <mergeCell ref="AK603:AM603"/>
    <mergeCell ref="G601:I601"/>
    <mergeCell ref="J601:L601"/>
    <mergeCell ref="M601:O601"/>
    <mergeCell ref="P601:R601"/>
    <mergeCell ref="S601:U601"/>
    <mergeCell ref="V601:X601"/>
    <mergeCell ref="Y601:AA601"/>
    <mergeCell ref="AB601:AD601"/>
    <mergeCell ref="AE601:AG601"/>
    <mergeCell ref="AH601:AJ601"/>
    <mergeCell ref="AK601:AM601"/>
    <mergeCell ref="AN601:AP601"/>
    <mergeCell ref="AQ601:AS601"/>
    <mergeCell ref="C600:AS600"/>
    <mergeCell ref="C601:F601"/>
    <mergeCell ref="J605:L605"/>
    <mergeCell ref="M605:O605"/>
    <mergeCell ref="P605:R605"/>
    <mergeCell ref="S605:U605"/>
    <mergeCell ref="V605:X605"/>
    <mergeCell ref="Y605:AA605"/>
    <mergeCell ref="AB605:AD605"/>
    <mergeCell ref="AE605:AG605"/>
    <mergeCell ref="AH605:AJ605"/>
    <mergeCell ref="AK605:AM605"/>
    <mergeCell ref="AN605:AP605"/>
    <mergeCell ref="AQ605:AS605"/>
    <mergeCell ref="C602:AS602"/>
    <mergeCell ref="C603:F603"/>
    <mergeCell ref="AN603:AP603"/>
    <mergeCell ref="AQ603:AS603"/>
    <mergeCell ref="C606:AS606"/>
    <mergeCell ref="C604:AS604"/>
    <mergeCell ref="C605:F605"/>
    <mergeCell ref="G605:I605"/>
    <mergeCell ref="C799:AM799"/>
    <mergeCell ref="C794:AS794"/>
    <mergeCell ref="C781:AM781"/>
    <mergeCell ref="C782:AM782"/>
    <mergeCell ref="AN762:AS762"/>
    <mergeCell ref="AN763:AS763"/>
    <mergeCell ref="AN764:AS764"/>
    <mergeCell ref="AN765:AS765"/>
    <mergeCell ref="AN766:AS766"/>
    <mergeCell ref="AN767:AS767"/>
    <mergeCell ref="AN768:AS768"/>
    <mergeCell ref="AN769:AS769"/>
    <mergeCell ref="AN780:AS780"/>
    <mergeCell ref="AN783:AS783"/>
    <mergeCell ref="AN781:AS781"/>
    <mergeCell ref="C783:AM783"/>
    <mergeCell ref="C784:AM784"/>
    <mergeCell ref="AN776:AS776"/>
    <mergeCell ref="AN777:AS777"/>
    <mergeCell ref="C763:AM763"/>
    <mergeCell ref="C764:AM764"/>
    <mergeCell ref="C779:AS779"/>
    <mergeCell ref="C780:AM780"/>
    <mergeCell ref="C771:AS771"/>
    <mergeCell ref="C772:AM772"/>
    <mergeCell ref="AN772:AS772"/>
    <mergeCell ref="C773:AM773"/>
    <mergeCell ref="AN773:AS773"/>
    <mergeCell ref="C774:AM774"/>
    <mergeCell ref="AN774:AS774"/>
    <mergeCell ref="C795:AM795"/>
    <mergeCell ref="C796:AM796"/>
    <mergeCell ref="C611:AM611"/>
    <mergeCell ref="C612:AM612"/>
    <mergeCell ref="C585:F585"/>
    <mergeCell ref="C835:AG835"/>
    <mergeCell ref="C836:AG836"/>
    <mergeCell ref="C837:AG837"/>
    <mergeCell ref="C838:AG838"/>
    <mergeCell ref="C839:AG839"/>
    <mergeCell ref="C840:AG840"/>
    <mergeCell ref="C841:AG841"/>
    <mergeCell ref="AH817:AS817"/>
    <mergeCell ref="AH818:AS818"/>
    <mergeCell ref="AH819:AS819"/>
    <mergeCell ref="AH820:AS820"/>
    <mergeCell ref="AH821:AS821"/>
    <mergeCell ref="AH822:AS822"/>
    <mergeCell ref="AH823:AS823"/>
    <mergeCell ref="AH824:AS824"/>
    <mergeCell ref="AH825:AS825"/>
    <mergeCell ref="C817:AG817"/>
    <mergeCell ref="C818:AG818"/>
    <mergeCell ref="C819:AG819"/>
    <mergeCell ref="C820:AG820"/>
    <mergeCell ref="C821:AG821"/>
    <mergeCell ref="C822:AG822"/>
    <mergeCell ref="C823:AG823"/>
    <mergeCell ref="C824:AG824"/>
    <mergeCell ref="C825:AG825"/>
    <mergeCell ref="AN800:AS800"/>
    <mergeCell ref="AH839:AS839"/>
    <mergeCell ref="AH840:AS840"/>
    <mergeCell ref="AH841:AS841"/>
    <mergeCell ref="AH835:AS835"/>
    <mergeCell ref="AH836:AS836"/>
    <mergeCell ref="AH837:AS837"/>
    <mergeCell ref="AH838:AS838"/>
    <mergeCell ref="C827:AG827"/>
    <mergeCell ref="AN804:AS804"/>
    <mergeCell ref="C828:AG828"/>
    <mergeCell ref="C829:AG829"/>
    <mergeCell ref="C830:AG830"/>
    <mergeCell ref="C831:AG831"/>
    <mergeCell ref="C832:AG832"/>
    <mergeCell ref="C833:AG833"/>
    <mergeCell ref="AH829:AS829"/>
    <mergeCell ref="AH830:AS830"/>
    <mergeCell ref="AH831:AS831"/>
    <mergeCell ref="AH832:AS832"/>
    <mergeCell ref="AH833:AS833"/>
    <mergeCell ref="AN808:AS808"/>
    <mergeCell ref="AN809:AS809"/>
    <mergeCell ref="AN810:AS810"/>
    <mergeCell ref="AN811:AS811"/>
    <mergeCell ref="C810:AM810"/>
    <mergeCell ref="C811:AM811"/>
    <mergeCell ref="C809:AM809"/>
    <mergeCell ref="AN807:AS807"/>
    <mergeCell ref="C806:AS806"/>
    <mergeCell ref="C807:AM807"/>
    <mergeCell ref="C808:AM808"/>
    <mergeCell ref="C856:AG856"/>
    <mergeCell ref="AH854:AS854"/>
    <mergeCell ref="AH855:AS855"/>
    <mergeCell ref="AH856:AS856"/>
    <mergeCell ref="C850:AG850"/>
    <mergeCell ref="C851:AG851"/>
    <mergeCell ref="C852:AG852"/>
    <mergeCell ref="AH850:AS850"/>
    <mergeCell ref="AH851:AS851"/>
    <mergeCell ref="AH852:AS852"/>
    <mergeCell ref="C846:AG846"/>
    <mergeCell ref="C847:AG847"/>
    <mergeCell ref="C848:AG848"/>
    <mergeCell ref="C843:AG843"/>
    <mergeCell ref="AH843:AS843"/>
    <mergeCell ref="AH844:AS844"/>
    <mergeCell ref="AH845:AS845"/>
    <mergeCell ref="AH846:AS846"/>
    <mergeCell ref="AH847:AS847"/>
    <mergeCell ref="AH848:AS848"/>
    <mergeCell ref="C854:AG854"/>
    <mergeCell ref="C855:AG855"/>
    <mergeCell ref="C844:AG844"/>
    <mergeCell ref="C845:AG845"/>
    <mergeCell ref="C613:AM613"/>
    <mergeCell ref="C614:AM614"/>
    <mergeCell ref="C618:AM618"/>
    <mergeCell ref="C619:AM619"/>
    <mergeCell ref="C620:AM620"/>
    <mergeCell ref="C621:AM621"/>
    <mergeCell ref="C622:AM622"/>
    <mergeCell ref="C610:AS610"/>
    <mergeCell ref="C616:AS616"/>
    <mergeCell ref="C617:AM617"/>
    <mergeCell ref="AN617:AS617"/>
    <mergeCell ref="AN782:AS782"/>
    <mergeCell ref="AN611:AS611"/>
    <mergeCell ref="AN612:AS612"/>
    <mergeCell ref="AN613:AS613"/>
    <mergeCell ref="AN614:AS614"/>
    <mergeCell ref="AN618:AS618"/>
    <mergeCell ref="AN619:AS619"/>
    <mergeCell ref="AN620:AS620"/>
    <mergeCell ref="AN621:AS621"/>
    <mergeCell ref="AN622:AS622"/>
    <mergeCell ref="AN623:AS623"/>
    <mergeCell ref="AN624:AS624"/>
    <mergeCell ref="AN629:AS629"/>
    <mergeCell ref="C623:AM623"/>
    <mergeCell ref="C624:AM624"/>
    <mergeCell ref="AN630:AS630"/>
    <mergeCell ref="AN632:AS632"/>
    <mergeCell ref="C761:AS761"/>
    <mergeCell ref="C762:AM762"/>
    <mergeCell ref="C625:AM625"/>
    <mergeCell ref="C626:AM626"/>
    <mergeCell ref="C627:AM627"/>
    <mergeCell ref="C628:AM628"/>
    <mergeCell ref="C629:AM629"/>
    <mergeCell ref="C630:AM630"/>
    <mergeCell ref="C632:AM632"/>
    <mergeCell ref="C633:AM633"/>
    <mergeCell ref="C634:AM634"/>
    <mergeCell ref="C635:AM635"/>
    <mergeCell ref="C636:AM636"/>
    <mergeCell ref="C637:AM637"/>
    <mergeCell ref="C638:AM638"/>
    <mergeCell ref="C639:AM639"/>
    <mergeCell ref="AN625:AS625"/>
    <mergeCell ref="AN626:AS626"/>
    <mergeCell ref="AN627:AS627"/>
    <mergeCell ref="AN628:AS628"/>
    <mergeCell ref="AN633:AS633"/>
    <mergeCell ref="AN634:AS634"/>
    <mergeCell ref="AN635:AS635"/>
    <mergeCell ref="AN636:AS636"/>
    <mergeCell ref="AN637:AS637"/>
    <mergeCell ref="AN638:AS638"/>
    <mergeCell ref="AN639:AS639"/>
    <mergeCell ref="C657:AS657"/>
    <mergeCell ref="C658:AS658"/>
    <mergeCell ref="AN659:AS659"/>
    <mergeCell ref="C677:AG677"/>
    <mergeCell ref="AN784:AS784"/>
    <mergeCell ref="AN785:AS785"/>
    <mergeCell ref="AN788:AS788"/>
    <mergeCell ref="AN789:AS789"/>
    <mergeCell ref="AN790:AS790"/>
    <mergeCell ref="AN791:AS791"/>
    <mergeCell ref="AN792:AS792"/>
    <mergeCell ref="AN795:AS795"/>
    <mergeCell ref="C792:AM792"/>
    <mergeCell ref="AN667:AS667"/>
    <mergeCell ref="AN668:AS668"/>
    <mergeCell ref="AN669:AS669"/>
    <mergeCell ref="AN670:AS670"/>
    <mergeCell ref="AN671:AS671"/>
    <mergeCell ref="AN672:AS672"/>
    <mergeCell ref="AN673:AS673"/>
    <mergeCell ref="C659:AM659"/>
    <mergeCell ref="C668:AM668"/>
    <mergeCell ref="C669:AM669"/>
    <mergeCell ref="C670:AM670"/>
    <mergeCell ref="C671:AM671"/>
    <mergeCell ref="C672:AM672"/>
    <mergeCell ref="C673:AM673"/>
    <mergeCell ref="C785:AM785"/>
    <mergeCell ref="C787:AS787"/>
    <mergeCell ref="C788:AM788"/>
    <mergeCell ref="C789:AM789"/>
    <mergeCell ref="C685:AS685"/>
    <mergeCell ref="C647:AM647"/>
    <mergeCell ref="C648:AM648"/>
    <mergeCell ref="C649:AM649"/>
    <mergeCell ref="C650:AM650"/>
    <mergeCell ref="C651:AM651"/>
    <mergeCell ref="C652:AM652"/>
    <mergeCell ref="C653:AM653"/>
    <mergeCell ref="C654:AM654"/>
    <mergeCell ref="C655:AM655"/>
    <mergeCell ref="AN647:AS647"/>
    <mergeCell ref="AN648:AS648"/>
    <mergeCell ref="AN649:AS649"/>
    <mergeCell ref="AN650:AS650"/>
    <mergeCell ref="AN651:AS651"/>
    <mergeCell ref="AN652:AS652"/>
    <mergeCell ref="AN653:AS653"/>
    <mergeCell ref="AN654:AS654"/>
    <mergeCell ref="AN655:AS655"/>
    <mergeCell ref="AN640:AS640"/>
    <mergeCell ref="AN641:AS641"/>
    <mergeCell ref="AN642:AS642"/>
    <mergeCell ref="AN643:AS643"/>
    <mergeCell ref="AN644:AS644"/>
    <mergeCell ref="AN645:AS645"/>
    <mergeCell ref="AN646:AS646"/>
    <mergeCell ref="C640:AM640"/>
    <mergeCell ref="C641:AM641"/>
    <mergeCell ref="C678:AG678"/>
    <mergeCell ref="C679:AG679"/>
    <mergeCell ref="C680:AG680"/>
    <mergeCell ref="AN660:AS660"/>
    <mergeCell ref="AN661:AS661"/>
    <mergeCell ref="AN662:AS662"/>
    <mergeCell ref="AN663:AS663"/>
    <mergeCell ref="AN664:AS664"/>
    <mergeCell ref="AN665:AS665"/>
    <mergeCell ref="AN666:AS666"/>
    <mergeCell ref="C660:AM660"/>
    <mergeCell ref="C661:AM661"/>
    <mergeCell ref="C662:AM662"/>
    <mergeCell ref="C663:AM663"/>
    <mergeCell ref="C664:AM664"/>
    <mergeCell ref="C665:AM665"/>
    <mergeCell ref="C666:AM666"/>
    <mergeCell ref="C667:AM667"/>
    <mergeCell ref="C642:AM642"/>
    <mergeCell ref="C643:AM643"/>
    <mergeCell ref="C644:AM644"/>
    <mergeCell ref="C645:AM645"/>
    <mergeCell ref="C646:AM646"/>
    <mergeCell ref="C686:X686"/>
    <mergeCell ref="Y686:AS686"/>
    <mergeCell ref="C681:AG681"/>
    <mergeCell ref="C682:AG682"/>
    <mergeCell ref="AH674:AM674"/>
    <mergeCell ref="AH675:AM675"/>
    <mergeCell ref="AH676:AM676"/>
    <mergeCell ref="AH677:AM677"/>
    <mergeCell ref="AH678:AM678"/>
    <mergeCell ref="AH679:AM679"/>
    <mergeCell ref="AH680:AM680"/>
    <mergeCell ref="AH681:AM681"/>
    <mergeCell ref="AH682:AM682"/>
    <mergeCell ref="AN674:AS674"/>
    <mergeCell ref="AN675:AS675"/>
    <mergeCell ref="AN676:AS676"/>
    <mergeCell ref="AN677:AS677"/>
    <mergeCell ref="AN678:AS678"/>
    <mergeCell ref="AN679:AS679"/>
    <mergeCell ref="AN680:AS680"/>
    <mergeCell ref="AN681:AS681"/>
    <mergeCell ref="AN682:AS682"/>
    <mergeCell ref="C674:AG674"/>
    <mergeCell ref="C675:AG675"/>
    <mergeCell ref="C676:AG676"/>
    <mergeCell ref="C687:R687"/>
    <mergeCell ref="C688:R688"/>
    <mergeCell ref="C689:R689"/>
    <mergeCell ref="C690:R690"/>
    <mergeCell ref="C691:R691"/>
    <mergeCell ref="C692:R692"/>
    <mergeCell ref="C693:R693"/>
    <mergeCell ref="C694:R694"/>
    <mergeCell ref="C695:R695"/>
    <mergeCell ref="C696:R696"/>
    <mergeCell ref="C697:R697"/>
    <mergeCell ref="S687:X687"/>
    <mergeCell ref="S688:X688"/>
    <mergeCell ref="S689:X689"/>
    <mergeCell ref="S690:X690"/>
    <mergeCell ref="S691:X691"/>
    <mergeCell ref="S692:X692"/>
    <mergeCell ref="S693:X693"/>
    <mergeCell ref="S694:X694"/>
    <mergeCell ref="S695:X695"/>
    <mergeCell ref="S696:X696"/>
    <mergeCell ref="S697:X697"/>
    <mergeCell ref="Y687:AM687"/>
    <mergeCell ref="Y688:AM688"/>
    <mergeCell ref="Y689:AM689"/>
    <mergeCell ref="Y690:AM690"/>
    <mergeCell ref="Y691:AM691"/>
    <mergeCell ref="Y692:AM692"/>
    <mergeCell ref="Y693:AM693"/>
    <mergeCell ref="Y694:AM694"/>
    <mergeCell ref="Y695:AM695"/>
    <mergeCell ref="Y696:AM696"/>
    <mergeCell ref="Y697:AM697"/>
    <mergeCell ref="AN687:AS687"/>
    <mergeCell ref="AN688:AS688"/>
    <mergeCell ref="AN689:AS689"/>
    <mergeCell ref="AN690:AS690"/>
    <mergeCell ref="AN691:AS691"/>
    <mergeCell ref="AN692:AS692"/>
    <mergeCell ref="AN693:AS693"/>
    <mergeCell ref="AN694:AS694"/>
    <mergeCell ref="AN695:AS695"/>
    <mergeCell ref="AN696:AS696"/>
    <mergeCell ref="AN697:AS697"/>
    <mergeCell ref="C699:AS699"/>
    <mergeCell ref="C700:X700"/>
    <mergeCell ref="Y700:AS700"/>
    <mergeCell ref="C701:R701"/>
    <mergeCell ref="S701:X701"/>
    <mergeCell ref="Y701:AM701"/>
    <mergeCell ref="AN701:AS701"/>
    <mergeCell ref="C702:R702"/>
    <mergeCell ref="S702:X702"/>
    <mergeCell ref="Y702:AM702"/>
    <mergeCell ref="AN702:AS702"/>
    <mergeCell ref="C703:R703"/>
    <mergeCell ref="S703:X703"/>
    <mergeCell ref="Y703:AM703"/>
    <mergeCell ref="AN703:AS703"/>
    <mergeCell ref="C704:R704"/>
    <mergeCell ref="S704:X704"/>
    <mergeCell ref="Y704:AM704"/>
    <mergeCell ref="AN704:AS704"/>
    <mergeCell ref="C705:R705"/>
    <mergeCell ref="S705:X705"/>
    <mergeCell ref="Y705:AM705"/>
    <mergeCell ref="AN705:AS705"/>
    <mergeCell ref="AN719:AS719"/>
    <mergeCell ref="C706:R706"/>
    <mergeCell ref="S706:X706"/>
    <mergeCell ref="Y706:AM706"/>
    <mergeCell ref="AN706:AS706"/>
    <mergeCell ref="C707:R707"/>
    <mergeCell ref="S707:X707"/>
    <mergeCell ref="Y707:AM707"/>
    <mergeCell ref="AN707:AS707"/>
    <mergeCell ref="C708:R708"/>
    <mergeCell ref="S708:X708"/>
    <mergeCell ref="Y708:AM708"/>
    <mergeCell ref="AN708:AS708"/>
    <mergeCell ref="C709:R709"/>
    <mergeCell ref="S709:X709"/>
    <mergeCell ref="Y709:AM709"/>
    <mergeCell ref="AN709:AS709"/>
    <mergeCell ref="C710:R710"/>
    <mergeCell ref="S710:X710"/>
    <mergeCell ref="Y710:AM710"/>
    <mergeCell ref="AN710:AS710"/>
    <mergeCell ref="C711:R711"/>
    <mergeCell ref="S711:X711"/>
    <mergeCell ref="Y711:AM711"/>
    <mergeCell ref="AN711:AS711"/>
    <mergeCell ref="C713:AS713"/>
    <mergeCell ref="AN720:AS720"/>
    <mergeCell ref="AN721:AS721"/>
    <mergeCell ref="AN722:AS722"/>
    <mergeCell ref="AN723:AS723"/>
    <mergeCell ref="AN724:AS724"/>
    <mergeCell ref="AN725:AS725"/>
    <mergeCell ref="AN726:AS726"/>
    <mergeCell ref="AN727:AS727"/>
    <mergeCell ref="C714:AM714"/>
    <mergeCell ref="C715:AM715"/>
    <mergeCell ref="C716:AM716"/>
    <mergeCell ref="C717:AM717"/>
    <mergeCell ref="C719:AM719"/>
    <mergeCell ref="C720:AM720"/>
    <mergeCell ref="C723:AM723"/>
    <mergeCell ref="C724:AM724"/>
    <mergeCell ref="C725:AM725"/>
    <mergeCell ref="C726:AM726"/>
    <mergeCell ref="C727:AM727"/>
    <mergeCell ref="AN714:AS714"/>
    <mergeCell ref="AN715:AS715"/>
    <mergeCell ref="AN716:AS716"/>
    <mergeCell ref="C721:AM721"/>
    <mergeCell ref="C722:AM722"/>
    <mergeCell ref="AN728:AS728"/>
    <mergeCell ref="AN729:AS729"/>
    <mergeCell ref="AN730:AS730"/>
    <mergeCell ref="AN731:AS731"/>
    <mergeCell ref="AN732:AS732"/>
    <mergeCell ref="AN733:AS733"/>
    <mergeCell ref="C743:AG743"/>
    <mergeCell ref="C737:AG737"/>
    <mergeCell ref="C738:AG738"/>
    <mergeCell ref="C739:AG739"/>
    <mergeCell ref="C740:AG740"/>
    <mergeCell ref="C741:AG741"/>
    <mergeCell ref="C742:AG742"/>
    <mergeCell ref="C736:AG736"/>
    <mergeCell ref="AH734:AM734"/>
    <mergeCell ref="AH735:AM735"/>
    <mergeCell ref="AH736:AM736"/>
    <mergeCell ref="AH737:AM737"/>
    <mergeCell ref="AH738:AM738"/>
    <mergeCell ref="AH739:AM739"/>
    <mergeCell ref="AH740:AM740"/>
    <mergeCell ref="AH741:AM741"/>
    <mergeCell ref="AH742:AM742"/>
    <mergeCell ref="AH743:AM743"/>
    <mergeCell ref="AN734:AS734"/>
    <mergeCell ref="AN735:AS735"/>
    <mergeCell ref="AN736:AS736"/>
    <mergeCell ref="C729:AM729"/>
    <mergeCell ref="C730:AM730"/>
    <mergeCell ref="C728:AM728"/>
    <mergeCell ref="C735:AG735"/>
    <mergeCell ref="C731:AM731"/>
    <mergeCell ref="C747:AM747"/>
    <mergeCell ref="C748:AM748"/>
    <mergeCell ref="C749:AM749"/>
    <mergeCell ref="C750:AM750"/>
    <mergeCell ref="C751:AM751"/>
    <mergeCell ref="C752:AM752"/>
    <mergeCell ref="C753:AM753"/>
    <mergeCell ref="C754:AM754"/>
    <mergeCell ref="C755:AM755"/>
    <mergeCell ref="C756:AM756"/>
    <mergeCell ref="C757:AM757"/>
    <mergeCell ref="AN747:AS747"/>
    <mergeCell ref="AN748:AS748"/>
    <mergeCell ref="AN749:AS749"/>
    <mergeCell ref="AN750:AS750"/>
    <mergeCell ref="AN751:AS751"/>
    <mergeCell ref="AN752:AS752"/>
    <mergeCell ref="AN753:AS753"/>
    <mergeCell ref="AN754:AS754"/>
    <mergeCell ref="AN755:AS755"/>
    <mergeCell ref="AN756:AS756"/>
    <mergeCell ref="AN757:AS757"/>
    <mergeCell ref="C732:AM732"/>
    <mergeCell ref="AN739:AS739"/>
    <mergeCell ref="AN740:AS740"/>
    <mergeCell ref="AN741:AS741"/>
    <mergeCell ref="AN742:AS742"/>
    <mergeCell ref="AN743:AS743"/>
    <mergeCell ref="C746:AM746"/>
    <mergeCell ref="AN737:AS737"/>
    <mergeCell ref="AN738:AS738"/>
    <mergeCell ref="C733:AG733"/>
    <mergeCell ref="AN746:AS746"/>
    <mergeCell ref="C734:AG734"/>
    <mergeCell ref="C745:AS745"/>
    <mergeCell ref="U221:AG221"/>
    <mergeCell ref="AN229:AS229"/>
    <mergeCell ref="AN230:AS230"/>
    <mergeCell ref="AN231:AS231"/>
    <mergeCell ref="AN232:AS232"/>
    <mergeCell ref="AN233:AS233"/>
    <mergeCell ref="AN234:AS234"/>
    <mergeCell ref="AN235:AS235"/>
    <mergeCell ref="AN236:AS236"/>
    <mergeCell ref="AN237:AS237"/>
    <mergeCell ref="AN238:AS238"/>
    <mergeCell ref="AN239:AS239"/>
    <mergeCell ref="AN240:AS240"/>
    <mergeCell ref="C226:H228"/>
    <mergeCell ref="I226:N226"/>
    <mergeCell ref="O226:T228"/>
    <mergeCell ref="U226:AG226"/>
    <mergeCell ref="I227:N227"/>
    <mergeCell ref="U227:AG227"/>
    <mergeCell ref="I236:N236"/>
    <mergeCell ref="U236:AG236"/>
    <mergeCell ref="I237:N237"/>
    <mergeCell ref="U237:AG237"/>
    <mergeCell ref="I235:N235"/>
    <mergeCell ref="O235:T237"/>
    <mergeCell ref="U235:AG235"/>
    <mergeCell ref="C232:H234"/>
    <mergeCell ref="I232:N232"/>
    <mergeCell ref="AN223:AS223"/>
    <mergeCell ref="I224:N224"/>
    <mergeCell ref="U224:AG224"/>
    <mergeCell ref="AH224:AM224"/>
    <mergeCell ref="AC1319:AG1319"/>
    <mergeCell ref="AH1319:AJ1319"/>
    <mergeCell ref="AK1319:AM1319"/>
    <mergeCell ref="AN1319:AS1319"/>
    <mergeCell ref="O238:T240"/>
    <mergeCell ref="U238:AG238"/>
    <mergeCell ref="I239:N239"/>
    <mergeCell ref="U239:AG239"/>
    <mergeCell ref="I234:N234"/>
    <mergeCell ref="U234:AG234"/>
    <mergeCell ref="C235:H237"/>
    <mergeCell ref="AN259:AS259"/>
    <mergeCell ref="I240:N240"/>
    <mergeCell ref="U240:AG240"/>
    <mergeCell ref="C241:H243"/>
    <mergeCell ref="C360:G360"/>
    <mergeCell ref="C262:AM262"/>
    <mergeCell ref="AN262:AS262"/>
    <mergeCell ref="C259:AM259"/>
    <mergeCell ref="I241:N241"/>
    <mergeCell ref="C790:AM790"/>
    <mergeCell ref="C791:AM791"/>
    <mergeCell ref="C804:AM804"/>
    <mergeCell ref="C765:AM765"/>
    <mergeCell ref="C766:AM766"/>
    <mergeCell ref="C767:AM767"/>
    <mergeCell ref="C768:AM768"/>
    <mergeCell ref="C769:AM769"/>
    <mergeCell ref="AN796:AS796"/>
    <mergeCell ref="AN797:AS797"/>
    <mergeCell ref="AN798:AS798"/>
    <mergeCell ref="AN799:AS799"/>
    <mergeCell ref="AN1320:AS1320"/>
    <mergeCell ref="C1320:AM1320"/>
    <mergeCell ref="AN263:AS263"/>
    <mergeCell ref="C264:AM264"/>
    <mergeCell ref="C265:AM265"/>
    <mergeCell ref="C266:AM266"/>
    <mergeCell ref="C269:AM269"/>
    <mergeCell ref="AN264:AS264"/>
    <mergeCell ref="AN265:AS265"/>
    <mergeCell ref="AN266:AS266"/>
    <mergeCell ref="AN269:AS269"/>
    <mergeCell ref="H360:O360"/>
    <mergeCell ref="H361:O361"/>
    <mergeCell ref="H362:O362"/>
    <mergeCell ref="H363:O363"/>
    <mergeCell ref="H364:O364"/>
    <mergeCell ref="H365:O365"/>
    <mergeCell ref="H366:O366"/>
    <mergeCell ref="H367:O367"/>
    <mergeCell ref="H368:O368"/>
    <mergeCell ref="H369:O369"/>
    <mergeCell ref="H370:O370"/>
    <mergeCell ref="H371:O371"/>
    <mergeCell ref="H372:O372"/>
    <mergeCell ref="H373:O373"/>
    <mergeCell ref="C263:AM263"/>
    <mergeCell ref="C273:AS273"/>
    <mergeCell ref="C1319:L1319"/>
    <mergeCell ref="M1319:P1319"/>
    <mergeCell ref="Q1319:S1319"/>
    <mergeCell ref="T1319:AB1319"/>
    <mergeCell ref="P365:AD365"/>
    <mergeCell ref="C1321:AS1321"/>
    <mergeCell ref="C1322:L1322"/>
    <mergeCell ref="C1323:L1323"/>
    <mergeCell ref="C1324:L1324"/>
    <mergeCell ref="Q1322:S1322"/>
    <mergeCell ref="Q1323:S1323"/>
    <mergeCell ref="Q1324:S1324"/>
    <mergeCell ref="N387:Q387"/>
    <mergeCell ref="R385:U385"/>
    <mergeCell ref="R386:U386"/>
    <mergeCell ref="R387:U387"/>
    <mergeCell ref="V385:Y385"/>
    <mergeCell ref="V386:Y386"/>
    <mergeCell ref="V387:Y387"/>
    <mergeCell ref="Z385:AC385"/>
    <mergeCell ref="Z386:AC386"/>
    <mergeCell ref="Z387:AC387"/>
    <mergeCell ref="AD385:AG385"/>
    <mergeCell ref="AD386:AG386"/>
    <mergeCell ref="C1325:L1325"/>
    <mergeCell ref="C1326:L1326"/>
    <mergeCell ref="C1327:L1327"/>
    <mergeCell ref="C1328:L1328"/>
    <mergeCell ref="C1329:L1329"/>
    <mergeCell ref="C1330:L1330"/>
    <mergeCell ref="C1331:L1331"/>
    <mergeCell ref="C1332:L1332"/>
    <mergeCell ref="M1322:P1322"/>
    <mergeCell ref="M1323:P1323"/>
    <mergeCell ref="M1324:P1324"/>
    <mergeCell ref="M1325:P1325"/>
    <mergeCell ref="M1326:P1326"/>
    <mergeCell ref="M1327:P1327"/>
    <mergeCell ref="M1328:P1328"/>
    <mergeCell ref="M1329:P1329"/>
    <mergeCell ref="M1330:P1330"/>
    <mergeCell ref="M1331:P1331"/>
    <mergeCell ref="M1332:P1332"/>
    <mergeCell ref="Q1325:S1325"/>
    <mergeCell ref="Q1326:S1326"/>
    <mergeCell ref="Q1327:S1327"/>
    <mergeCell ref="Q1328:S1328"/>
    <mergeCell ref="Q1329:S1329"/>
    <mergeCell ref="Q1330:S1330"/>
    <mergeCell ref="AK1330:AM1330"/>
    <mergeCell ref="AK1331:AM1331"/>
    <mergeCell ref="AK1332:AM1332"/>
    <mergeCell ref="Q1331:S1331"/>
    <mergeCell ref="Q1332:S1332"/>
    <mergeCell ref="T1322:AB1322"/>
    <mergeCell ref="T1323:AB1323"/>
    <mergeCell ref="T1324:AB1324"/>
    <mergeCell ref="T1325:AB1325"/>
    <mergeCell ref="T1326:AB1326"/>
    <mergeCell ref="T1327:AB1327"/>
    <mergeCell ref="T1328:AB1328"/>
    <mergeCell ref="T1329:AB1329"/>
    <mergeCell ref="T1330:AB1330"/>
    <mergeCell ref="T1331:AB1331"/>
    <mergeCell ref="T1332:AB1332"/>
    <mergeCell ref="AC1322:AG1322"/>
    <mergeCell ref="AC1323:AG1323"/>
    <mergeCell ref="AC1324:AG1324"/>
    <mergeCell ref="AC1325:AG1325"/>
    <mergeCell ref="AC1326:AG1326"/>
    <mergeCell ref="AC1327:AG1327"/>
    <mergeCell ref="AC1328:AG1328"/>
    <mergeCell ref="AC1329:AG1329"/>
    <mergeCell ref="AC1330:AG1330"/>
    <mergeCell ref="AC1331:AG1331"/>
    <mergeCell ref="AC1332:AG1332"/>
    <mergeCell ref="AH1354:AJ1354"/>
    <mergeCell ref="AH1355:AJ1355"/>
    <mergeCell ref="AN1322:AW1322"/>
    <mergeCell ref="AN1323:AW1323"/>
    <mergeCell ref="AN1324:AW1324"/>
    <mergeCell ref="AN1325:AW1325"/>
    <mergeCell ref="AN1326:AW1326"/>
    <mergeCell ref="AN1327:AW1327"/>
    <mergeCell ref="AN1328:AW1328"/>
    <mergeCell ref="AN1329:AW1329"/>
    <mergeCell ref="AN1330:AW1330"/>
    <mergeCell ref="AN1331:AW1331"/>
    <mergeCell ref="AN1332:AW1332"/>
    <mergeCell ref="C1345:AS1345"/>
    <mergeCell ref="C1346:L1346"/>
    <mergeCell ref="C1347:L1347"/>
    <mergeCell ref="C1348:L1348"/>
    <mergeCell ref="C1349:L1349"/>
    <mergeCell ref="C1350:L1350"/>
    <mergeCell ref="M1346:P1346"/>
    <mergeCell ref="M1347:P1347"/>
    <mergeCell ref="M1348:P1348"/>
    <mergeCell ref="M1349:P1349"/>
    <mergeCell ref="M1350:P1350"/>
    <mergeCell ref="Q1346:S1346"/>
    <mergeCell ref="Q1347:S1347"/>
    <mergeCell ref="Q1348:S1348"/>
    <mergeCell ref="Q1349:S1349"/>
    <mergeCell ref="Q1350:S1350"/>
    <mergeCell ref="T1346:AB1346"/>
    <mergeCell ref="T1347:AB1347"/>
    <mergeCell ref="T1348:AB1348"/>
    <mergeCell ref="AK1354:AM1354"/>
    <mergeCell ref="AK1355:AM1355"/>
    <mergeCell ref="AN1346:AS1346"/>
    <mergeCell ref="AN1347:AS1347"/>
    <mergeCell ref="AN1348:AS1348"/>
    <mergeCell ref="AN1349:AS1349"/>
    <mergeCell ref="AN1350:AS1350"/>
    <mergeCell ref="AN1351:AS1351"/>
    <mergeCell ref="AN1352:AS1352"/>
    <mergeCell ref="AN1353:AS1353"/>
    <mergeCell ref="AN1354:AS1354"/>
    <mergeCell ref="AN1355:AS1355"/>
    <mergeCell ref="T1351:AB1351"/>
    <mergeCell ref="T1352:AB1352"/>
    <mergeCell ref="T1353:AB1353"/>
    <mergeCell ref="T1354:AB1354"/>
    <mergeCell ref="T1355:AB1355"/>
    <mergeCell ref="AC1346:AG1346"/>
    <mergeCell ref="AC1347:AG1347"/>
    <mergeCell ref="AC1348:AG1348"/>
    <mergeCell ref="AC1349:AG1349"/>
    <mergeCell ref="AC1350:AG1350"/>
    <mergeCell ref="AC1351:AG1351"/>
    <mergeCell ref="AC1352:AG1352"/>
    <mergeCell ref="AC1353:AG1353"/>
    <mergeCell ref="AC1354:AG1354"/>
    <mergeCell ref="AC1355:AG1355"/>
    <mergeCell ref="AH1346:AJ1346"/>
    <mergeCell ref="AH1347:AJ1347"/>
    <mergeCell ref="AH1348:AJ1348"/>
    <mergeCell ref="AH1349:AJ1349"/>
    <mergeCell ref="AH1350:AJ1350"/>
    <mergeCell ref="AK1346:AM1346"/>
    <mergeCell ref="AK1347:AM1347"/>
    <mergeCell ref="AK1348:AM1348"/>
    <mergeCell ref="AK1349:AM1349"/>
    <mergeCell ref="AK1350:AM1350"/>
    <mergeCell ref="AK1351:AM1351"/>
    <mergeCell ref="AK1352:AM1352"/>
    <mergeCell ref="AK1353:AM1353"/>
    <mergeCell ref="AH1351:AJ1351"/>
    <mergeCell ref="AH1352:AJ1352"/>
    <mergeCell ref="AH1353:AJ1353"/>
    <mergeCell ref="T1349:AB1349"/>
    <mergeCell ref="T1350:AB1350"/>
    <mergeCell ref="AH1322:AJ1322"/>
    <mergeCell ref="AH1323:AJ1323"/>
    <mergeCell ref="AH1324:AJ1324"/>
    <mergeCell ref="AH1325:AJ1325"/>
    <mergeCell ref="AH1326:AJ1326"/>
    <mergeCell ref="AH1327:AJ1327"/>
    <mergeCell ref="AH1328:AJ1328"/>
    <mergeCell ref="AH1329:AJ1329"/>
    <mergeCell ref="AH1330:AJ1330"/>
    <mergeCell ref="AH1331:AJ1331"/>
    <mergeCell ref="AH1332:AJ1332"/>
    <mergeCell ref="AK1322:AM1322"/>
    <mergeCell ref="AK1323:AM1323"/>
    <mergeCell ref="AK1324:AM1324"/>
    <mergeCell ref="AK1325:AM1325"/>
    <mergeCell ref="AK1326:AM1326"/>
    <mergeCell ref="AK1327:AM1327"/>
    <mergeCell ref="AK1328:AM1328"/>
    <mergeCell ref="AK1329:AM1329"/>
    <mergeCell ref="P366:AD366"/>
    <mergeCell ref="P367:AD367"/>
    <mergeCell ref="P368:AD368"/>
    <mergeCell ref="P369:AD369"/>
    <mergeCell ref="P370:AD370"/>
    <mergeCell ref="P371:AD371"/>
    <mergeCell ref="P372:AD372"/>
    <mergeCell ref="AE360:AS360"/>
    <mergeCell ref="AE361:AS361"/>
    <mergeCell ref="AE362:AS362"/>
    <mergeCell ref="AE363:AS363"/>
    <mergeCell ref="AE364:AS364"/>
    <mergeCell ref="AE365:AS365"/>
    <mergeCell ref="AE366:AS366"/>
    <mergeCell ref="C375:AM375"/>
    <mergeCell ref="C376:AM376"/>
    <mergeCell ref="C377:AM377"/>
    <mergeCell ref="C889:G889"/>
    <mergeCell ref="AL385:AO385"/>
    <mergeCell ref="C378:AM378"/>
    <mergeCell ref="AN378:AS378"/>
    <mergeCell ref="C864:G864"/>
    <mergeCell ref="C865:G865"/>
    <mergeCell ref="C866:G866"/>
    <mergeCell ref="C867:G867"/>
    <mergeCell ref="C868:G868"/>
    <mergeCell ref="C869:G869"/>
    <mergeCell ref="C870:G870"/>
    <mergeCell ref="C871:G871"/>
    <mergeCell ref="C872:G872"/>
    <mergeCell ref="N386:Q386"/>
    <mergeCell ref="C800:AM800"/>
    <mergeCell ref="C802:AS802"/>
    <mergeCell ref="C903:G903"/>
    <mergeCell ref="C904:G904"/>
    <mergeCell ref="C905:G905"/>
    <mergeCell ref="C906:G906"/>
    <mergeCell ref="C907:G907"/>
    <mergeCell ref="C908:G908"/>
    <mergeCell ref="C909:G909"/>
    <mergeCell ref="C910:G910"/>
    <mergeCell ref="C911:G911"/>
    <mergeCell ref="C912:G912"/>
    <mergeCell ref="C913:G913"/>
    <mergeCell ref="AB892:AG892"/>
    <mergeCell ref="H881:AA881"/>
    <mergeCell ref="H882:AA882"/>
    <mergeCell ref="H883:AA883"/>
    <mergeCell ref="H884:AA884"/>
    <mergeCell ref="H885:AA885"/>
    <mergeCell ref="H886:AA886"/>
    <mergeCell ref="H887:AA887"/>
    <mergeCell ref="H888:AA888"/>
    <mergeCell ref="H889:AA889"/>
    <mergeCell ref="H890:AA890"/>
    <mergeCell ref="AB884:AG884"/>
    <mergeCell ref="AB885:AG885"/>
    <mergeCell ref="AB886:AG886"/>
    <mergeCell ref="AB887:AG887"/>
    <mergeCell ref="AB888:AG888"/>
    <mergeCell ref="AB889:AG889"/>
    <mergeCell ref="AB890:AG890"/>
    <mergeCell ref="AH886:AM886"/>
    <mergeCell ref="C914:G914"/>
    <mergeCell ref="C915:G915"/>
    <mergeCell ref="C916:G916"/>
    <mergeCell ref="C917:G917"/>
    <mergeCell ref="C890:G890"/>
    <mergeCell ref="C873:G873"/>
    <mergeCell ref="C874:G874"/>
    <mergeCell ref="C875:G875"/>
    <mergeCell ref="C876:G876"/>
    <mergeCell ref="C877:G877"/>
    <mergeCell ref="C878:G878"/>
    <mergeCell ref="C879:G879"/>
    <mergeCell ref="C880:G880"/>
    <mergeCell ref="C881:G881"/>
    <mergeCell ref="C882:G882"/>
    <mergeCell ref="C883:G883"/>
    <mergeCell ref="C884:G884"/>
    <mergeCell ref="C885:G885"/>
    <mergeCell ref="C886:G886"/>
    <mergeCell ref="C887:G887"/>
    <mergeCell ref="C888:G888"/>
    <mergeCell ref="C901:G901"/>
    <mergeCell ref="C902:G902"/>
    <mergeCell ref="C935:G935"/>
    <mergeCell ref="C936:G936"/>
    <mergeCell ref="C937:G937"/>
    <mergeCell ref="C938:G938"/>
    <mergeCell ref="C939:G939"/>
    <mergeCell ref="C940:G940"/>
    <mergeCell ref="C941:G941"/>
    <mergeCell ref="C942:G942"/>
    <mergeCell ref="C943:G943"/>
    <mergeCell ref="C944:G944"/>
    <mergeCell ref="C945:G945"/>
    <mergeCell ref="C946:G946"/>
    <mergeCell ref="C918:G918"/>
    <mergeCell ref="C919:G919"/>
    <mergeCell ref="C920:G920"/>
    <mergeCell ref="C921:G921"/>
    <mergeCell ref="C922:G922"/>
    <mergeCell ref="C923:G923"/>
    <mergeCell ref="C924:G924"/>
    <mergeCell ref="C925:G925"/>
    <mergeCell ref="C926:G926"/>
    <mergeCell ref="C927:G927"/>
    <mergeCell ref="C928:G928"/>
    <mergeCell ref="C929:G929"/>
    <mergeCell ref="C930:G930"/>
    <mergeCell ref="C931:G931"/>
    <mergeCell ref="C932:G932"/>
    <mergeCell ref="C933:G933"/>
    <mergeCell ref="C934:G934"/>
    <mergeCell ref="H936:AA936"/>
    <mergeCell ref="H937:AA937"/>
    <mergeCell ref="H938:AA938"/>
    <mergeCell ref="H939:AA939"/>
    <mergeCell ref="H940:AA940"/>
    <mergeCell ref="H941:AA941"/>
    <mergeCell ref="H942:AA942"/>
    <mergeCell ref="H943:AA943"/>
    <mergeCell ref="H927:AA927"/>
    <mergeCell ref="H928:AA928"/>
    <mergeCell ref="AB927:AG927"/>
    <mergeCell ref="AB928:AG928"/>
    <mergeCell ref="H895:AA895"/>
    <mergeCell ref="H896:AA896"/>
    <mergeCell ref="H897:AA897"/>
    <mergeCell ref="H898:AA898"/>
    <mergeCell ref="H899:AA899"/>
    <mergeCell ref="H900:AA900"/>
    <mergeCell ref="H901:AA901"/>
    <mergeCell ref="H902:AA902"/>
    <mergeCell ref="H903:AA903"/>
    <mergeCell ref="H904:AA904"/>
    <mergeCell ref="H905:AA905"/>
    <mergeCell ref="H906:AA906"/>
    <mergeCell ref="H907:AA907"/>
    <mergeCell ref="H908:AA908"/>
    <mergeCell ref="H909:AA909"/>
    <mergeCell ref="H929:AA929"/>
    <mergeCell ref="H930:AA930"/>
    <mergeCell ref="H931:AA931"/>
    <mergeCell ref="H932:AA932"/>
    <mergeCell ref="H933:AA933"/>
    <mergeCell ref="H934:AA934"/>
    <mergeCell ref="H935:AA935"/>
    <mergeCell ref="H892:AA892"/>
    <mergeCell ref="H893:AA893"/>
    <mergeCell ref="H894:AA894"/>
    <mergeCell ref="H864:AA864"/>
    <mergeCell ref="H865:AA865"/>
    <mergeCell ref="H866:AA866"/>
    <mergeCell ref="H867:AA867"/>
    <mergeCell ref="H868:AA868"/>
    <mergeCell ref="H869:AA869"/>
    <mergeCell ref="H870:AA870"/>
    <mergeCell ref="H871:AA871"/>
    <mergeCell ref="H872:AA872"/>
    <mergeCell ref="H873:AA873"/>
    <mergeCell ref="H874:AA874"/>
    <mergeCell ref="H875:AA875"/>
    <mergeCell ref="H876:AA876"/>
    <mergeCell ref="H877:AA877"/>
    <mergeCell ref="H878:AA878"/>
    <mergeCell ref="H879:AA879"/>
    <mergeCell ref="H880:AA880"/>
    <mergeCell ref="H910:AA910"/>
    <mergeCell ref="H911:AA911"/>
    <mergeCell ref="H912:AA912"/>
    <mergeCell ref="H913:AA913"/>
    <mergeCell ref="H914:AA914"/>
    <mergeCell ref="H915:AA915"/>
    <mergeCell ref="H916:AA916"/>
    <mergeCell ref="H917:AA917"/>
    <mergeCell ref="H918:AA918"/>
    <mergeCell ref="H919:AA919"/>
    <mergeCell ref="H920:AA920"/>
    <mergeCell ref="H921:AA921"/>
    <mergeCell ref="H922:AA922"/>
    <mergeCell ref="H923:AA923"/>
    <mergeCell ref="H924:AA924"/>
    <mergeCell ref="H925:AA925"/>
    <mergeCell ref="H926:AA926"/>
    <mergeCell ref="AB908:AG908"/>
    <mergeCell ref="AB909:AG909"/>
    <mergeCell ref="H944:AA944"/>
    <mergeCell ref="H945:AA945"/>
    <mergeCell ref="H946:AA946"/>
    <mergeCell ref="AB864:AG864"/>
    <mergeCell ref="AB865:AG865"/>
    <mergeCell ref="AB866:AG866"/>
    <mergeCell ref="AB867:AG867"/>
    <mergeCell ref="AB868:AG868"/>
    <mergeCell ref="AB869:AG869"/>
    <mergeCell ref="AB870:AG870"/>
    <mergeCell ref="AB871:AG871"/>
    <mergeCell ref="AB872:AG872"/>
    <mergeCell ref="AB873:AG873"/>
    <mergeCell ref="AB874:AG874"/>
    <mergeCell ref="AB875:AG875"/>
    <mergeCell ref="AB876:AG876"/>
    <mergeCell ref="AB877:AG877"/>
    <mergeCell ref="AB878:AG878"/>
    <mergeCell ref="AB879:AG879"/>
    <mergeCell ref="AB880:AG880"/>
    <mergeCell ref="AB881:AG881"/>
    <mergeCell ref="AB882:AG882"/>
    <mergeCell ref="AB883:AG883"/>
    <mergeCell ref="AB941:AG941"/>
    <mergeCell ref="AB942:AG942"/>
    <mergeCell ref="AB943:AG943"/>
    <mergeCell ref="AB944:AG944"/>
    <mergeCell ref="AB945:AG945"/>
    <mergeCell ref="AB910:AG910"/>
    <mergeCell ref="AB911:AG911"/>
    <mergeCell ref="AB912:AG912"/>
    <mergeCell ref="AB913:AG913"/>
    <mergeCell ref="AB914:AG914"/>
    <mergeCell ref="AB915:AG915"/>
    <mergeCell ref="AB916:AG916"/>
    <mergeCell ref="AB917:AG917"/>
    <mergeCell ref="AB918:AG918"/>
    <mergeCell ref="AB919:AG919"/>
    <mergeCell ref="AB920:AG920"/>
    <mergeCell ref="AB921:AG921"/>
    <mergeCell ref="AB922:AG922"/>
    <mergeCell ref="AB923:AG923"/>
    <mergeCell ref="AB924:AG924"/>
    <mergeCell ref="AB925:AG925"/>
    <mergeCell ref="AB926:AG926"/>
    <mergeCell ref="AH890:AM890"/>
    <mergeCell ref="AB929:AG929"/>
    <mergeCell ref="AB930:AG930"/>
    <mergeCell ref="AB931:AG931"/>
    <mergeCell ref="AB932:AG932"/>
    <mergeCell ref="AB933:AG933"/>
    <mergeCell ref="AB934:AG934"/>
    <mergeCell ref="AB935:AG935"/>
    <mergeCell ref="AB936:AG936"/>
    <mergeCell ref="AB937:AG937"/>
    <mergeCell ref="AB938:AG938"/>
    <mergeCell ref="AB939:AG939"/>
    <mergeCell ref="AB940:AG940"/>
    <mergeCell ref="AB893:AG893"/>
    <mergeCell ref="AB894:AG894"/>
    <mergeCell ref="AB895:AG895"/>
    <mergeCell ref="AB896:AG896"/>
    <mergeCell ref="AB897:AG897"/>
    <mergeCell ref="AB898:AG898"/>
    <mergeCell ref="AB899:AG899"/>
    <mergeCell ref="AB900:AG900"/>
    <mergeCell ref="AB901:AG901"/>
    <mergeCell ref="AB902:AG902"/>
    <mergeCell ref="AB903:AG903"/>
    <mergeCell ref="AB904:AG904"/>
    <mergeCell ref="AB905:AG905"/>
    <mergeCell ref="AB906:AG906"/>
    <mergeCell ref="AB907:AG907"/>
    <mergeCell ref="AH897:AM897"/>
    <mergeCell ref="AH898:AM898"/>
    <mergeCell ref="AH899:AM899"/>
    <mergeCell ref="AH900:AM900"/>
    <mergeCell ref="AH901:AM901"/>
    <mergeCell ref="AH902:AM902"/>
    <mergeCell ref="AH903:AM903"/>
    <mergeCell ref="AH904:AM904"/>
    <mergeCell ref="AH905:AM905"/>
    <mergeCell ref="AB946:AG946"/>
    <mergeCell ref="AH864:AM864"/>
    <mergeCell ref="AH865:AM865"/>
    <mergeCell ref="AH866:AM866"/>
    <mergeCell ref="AH867:AM867"/>
    <mergeCell ref="AH868:AM868"/>
    <mergeCell ref="AH869:AM869"/>
    <mergeCell ref="AH870:AM870"/>
    <mergeCell ref="AH871:AM871"/>
    <mergeCell ref="AH872:AM872"/>
    <mergeCell ref="AH873:AM873"/>
    <mergeCell ref="AH874:AM874"/>
    <mergeCell ref="AH875:AM875"/>
    <mergeCell ref="AH876:AM876"/>
    <mergeCell ref="AH877:AM877"/>
    <mergeCell ref="AH878:AM878"/>
    <mergeCell ref="AH879:AM879"/>
    <mergeCell ref="AH880:AM880"/>
    <mergeCell ref="AH881:AM881"/>
    <mergeCell ref="AH882:AM882"/>
    <mergeCell ref="AH883:AM883"/>
    <mergeCell ref="AH884:AM884"/>
    <mergeCell ref="AH885:AM885"/>
    <mergeCell ref="AH887:AM887"/>
    <mergeCell ref="AH888:AM888"/>
    <mergeCell ref="AH889:AM889"/>
    <mergeCell ref="AN881:AS881"/>
    <mergeCell ref="AN882:AS882"/>
    <mergeCell ref="AN883:AS883"/>
    <mergeCell ref="AN884:AS884"/>
    <mergeCell ref="AN885:AS885"/>
    <mergeCell ref="AN886:AS886"/>
    <mergeCell ref="AN887:AS887"/>
    <mergeCell ref="AN888:AS888"/>
    <mergeCell ref="AH923:AM923"/>
    <mergeCell ref="AH924:AM924"/>
    <mergeCell ref="AH925:AM925"/>
    <mergeCell ref="AH926:AM926"/>
    <mergeCell ref="AH927:AM927"/>
    <mergeCell ref="AH928:AM928"/>
    <mergeCell ref="AH929:AM929"/>
    <mergeCell ref="AH930:AM930"/>
    <mergeCell ref="AH931:AM931"/>
    <mergeCell ref="AH906:AM906"/>
    <mergeCell ref="AH907:AM907"/>
    <mergeCell ref="AH908:AM908"/>
    <mergeCell ref="AH909:AM909"/>
    <mergeCell ref="AH910:AM910"/>
    <mergeCell ref="AH911:AM911"/>
    <mergeCell ref="AH912:AM912"/>
    <mergeCell ref="AH913:AM913"/>
    <mergeCell ref="AH914:AM914"/>
    <mergeCell ref="AH915:AM915"/>
    <mergeCell ref="AH916:AM916"/>
    <mergeCell ref="AH917:AM917"/>
    <mergeCell ref="AH918:AM918"/>
    <mergeCell ref="AH919:AM919"/>
    <mergeCell ref="AH920:AM920"/>
    <mergeCell ref="AN864:AS864"/>
    <mergeCell ref="AN865:AS865"/>
    <mergeCell ref="AN866:AS866"/>
    <mergeCell ref="AN867:AS867"/>
    <mergeCell ref="AN868:AS868"/>
    <mergeCell ref="AN869:AS869"/>
    <mergeCell ref="AN870:AS870"/>
    <mergeCell ref="AN871:AS871"/>
    <mergeCell ref="AN872:AS872"/>
    <mergeCell ref="AN873:AS873"/>
    <mergeCell ref="AN874:AS874"/>
    <mergeCell ref="AN875:AS875"/>
    <mergeCell ref="AN876:AS876"/>
    <mergeCell ref="AN877:AS877"/>
    <mergeCell ref="AN878:AS878"/>
    <mergeCell ref="AN879:AS879"/>
    <mergeCell ref="AN880:AS880"/>
    <mergeCell ref="AN889:AS889"/>
    <mergeCell ref="AN890:AS890"/>
    <mergeCell ref="AN892:AS892"/>
    <mergeCell ref="AN893:AS893"/>
    <mergeCell ref="AN894:AS894"/>
    <mergeCell ref="AN895:AS895"/>
    <mergeCell ref="AN896:AS896"/>
    <mergeCell ref="AN897:AS897"/>
    <mergeCell ref="AN898:AS898"/>
    <mergeCell ref="AN899:AS899"/>
    <mergeCell ref="AH940:AM940"/>
    <mergeCell ref="AH941:AM941"/>
    <mergeCell ref="AH942:AM942"/>
    <mergeCell ref="AH943:AM943"/>
    <mergeCell ref="AH944:AM944"/>
    <mergeCell ref="AH945:AM945"/>
    <mergeCell ref="AH946:AM946"/>
    <mergeCell ref="AH932:AM932"/>
    <mergeCell ref="AH933:AM933"/>
    <mergeCell ref="AH934:AM934"/>
    <mergeCell ref="AH935:AM935"/>
    <mergeCell ref="AH936:AM936"/>
    <mergeCell ref="AH937:AM937"/>
    <mergeCell ref="AH938:AM938"/>
    <mergeCell ref="AH939:AM939"/>
    <mergeCell ref="AH921:AM921"/>
    <mergeCell ref="AH922:AM922"/>
    <mergeCell ref="AH892:AM892"/>
    <mergeCell ref="AH893:AM893"/>
    <mergeCell ref="AH894:AM894"/>
    <mergeCell ref="AH895:AM895"/>
    <mergeCell ref="AH896:AM896"/>
    <mergeCell ref="AN921:AS921"/>
    <mergeCell ref="AN922:AS922"/>
    <mergeCell ref="AN923:AS923"/>
    <mergeCell ref="AN924:AS924"/>
    <mergeCell ref="AN925:AS925"/>
    <mergeCell ref="AN926:AS926"/>
    <mergeCell ref="AN927:AS927"/>
    <mergeCell ref="AN928:AS928"/>
    <mergeCell ref="AN929:AS929"/>
    <mergeCell ref="AN930:AS930"/>
    <mergeCell ref="AN931:AS931"/>
    <mergeCell ref="AN932:AS932"/>
    <mergeCell ref="AN933:AS933"/>
    <mergeCell ref="AN900:AS900"/>
    <mergeCell ref="AN901:AS901"/>
    <mergeCell ref="AN902:AS902"/>
    <mergeCell ref="AN903:AS903"/>
    <mergeCell ref="AN904:AS904"/>
    <mergeCell ref="AN905:AS905"/>
    <mergeCell ref="AN906:AS906"/>
    <mergeCell ref="AN907:AS907"/>
    <mergeCell ref="AN908:AS908"/>
    <mergeCell ref="AN909:AS909"/>
    <mergeCell ref="AN910:AS910"/>
    <mergeCell ref="AN911:AS911"/>
    <mergeCell ref="AN912:AS912"/>
    <mergeCell ref="AN913:AS913"/>
    <mergeCell ref="AN914:AS914"/>
    <mergeCell ref="AN915:AS915"/>
    <mergeCell ref="AN916:AS916"/>
    <mergeCell ref="AN934:AS934"/>
    <mergeCell ref="AN935:AS935"/>
    <mergeCell ref="AN936:AS936"/>
    <mergeCell ref="AN937:AS937"/>
    <mergeCell ref="AN938:AS938"/>
    <mergeCell ref="AN939:AS939"/>
    <mergeCell ref="AN940:AS940"/>
    <mergeCell ref="AN941:AS941"/>
    <mergeCell ref="AN942:AS942"/>
    <mergeCell ref="AN943:AS943"/>
    <mergeCell ref="AN944:AS944"/>
    <mergeCell ref="AN945:AS945"/>
    <mergeCell ref="AN946:AS946"/>
    <mergeCell ref="C862:G862"/>
    <mergeCell ref="H862:AA862"/>
    <mergeCell ref="AB862:AG862"/>
    <mergeCell ref="AH862:AM862"/>
    <mergeCell ref="AN862:AS862"/>
    <mergeCell ref="C891:AS891"/>
    <mergeCell ref="C892:G892"/>
    <mergeCell ref="C893:G893"/>
    <mergeCell ref="C894:G894"/>
    <mergeCell ref="C895:G895"/>
    <mergeCell ref="C896:G896"/>
    <mergeCell ref="C897:G897"/>
    <mergeCell ref="C898:G898"/>
    <mergeCell ref="C899:G899"/>
    <mergeCell ref="C900:G900"/>
    <mergeCell ref="AN917:AS917"/>
    <mergeCell ref="AN918:AS918"/>
    <mergeCell ref="AN919:AS919"/>
    <mergeCell ref="AN920:AS920"/>
    <mergeCell ref="C965:G965"/>
    <mergeCell ref="C966:G966"/>
    <mergeCell ref="C967:G967"/>
    <mergeCell ref="C968:G968"/>
    <mergeCell ref="C969:G969"/>
    <mergeCell ref="H947:AA947"/>
    <mergeCell ref="H948:AA948"/>
    <mergeCell ref="H949:AA949"/>
    <mergeCell ref="H950:AA950"/>
    <mergeCell ref="H951:AA951"/>
    <mergeCell ref="H952:AA952"/>
    <mergeCell ref="H953:AA953"/>
    <mergeCell ref="H954:AA954"/>
    <mergeCell ref="H955:AA955"/>
    <mergeCell ref="H956:AA956"/>
    <mergeCell ref="H957:AA957"/>
    <mergeCell ref="H958:AA958"/>
    <mergeCell ref="H959:AA959"/>
    <mergeCell ref="H960:AA960"/>
    <mergeCell ref="H961:AA961"/>
    <mergeCell ref="H962:AA962"/>
    <mergeCell ref="H963:AA963"/>
    <mergeCell ref="H964:AA964"/>
    <mergeCell ref="H965:AA965"/>
    <mergeCell ref="H966:AA966"/>
    <mergeCell ref="H967:AA967"/>
    <mergeCell ref="H968:AA968"/>
    <mergeCell ref="H969:AA969"/>
    <mergeCell ref="C947:G947"/>
    <mergeCell ref="C948:G948"/>
    <mergeCell ref="C949:G949"/>
    <mergeCell ref="C950:G950"/>
    <mergeCell ref="AB948:AG948"/>
    <mergeCell ref="AB949:AG949"/>
    <mergeCell ref="AB950:AG950"/>
    <mergeCell ref="AB951:AG951"/>
    <mergeCell ref="AB952:AG952"/>
    <mergeCell ref="AB953:AG953"/>
    <mergeCell ref="AB954:AG954"/>
    <mergeCell ref="AB955:AG955"/>
    <mergeCell ref="AB956:AG956"/>
    <mergeCell ref="AB957:AG957"/>
    <mergeCell ref="AB958:AG958"/>
    <mergeCell ref="AB959:AG959"/>
    <mergeCell ref="AB960:AG960"/>
    <mergeCell ref="AB961:AG961"/>
    <mergeCell ref="AB962:AG962"/>
    <mergeCell ref="AB963:AG963"/>
    <mergeCell ref="C964:G964"/>
    <mergeCell ref="C951:G951"/>
    <mergeCell ref="C952:G952"/>
    <mergeCell ref="C953:G953"/>
    <mergeCell ref="C954:G954"/>
    <mergeCell ref="C955:G955"/>
    <mergeCell ref="C956:G956"/>
    <mergeCell ref="C957:G957"/>
    <mergeCell ref="C958:G958"/>
    <mergeCell ref="C959:G959"/>
    <mergeCell ref="C960:G960"/>
    <mergeCell ref="C961:G961"/>
    <mergeCell ref="C962:G962"/>
    <mergeCell ref="C963:G963"/>
    <mergeCell ref="AH988:AM988"/>
    <mergeCell ref="AH989:AM989"/>
    <mergeCell ref="AB964:AG964"/>
    <mergeCell ref="AB965:AG965"/>
    <mergeCell ref="AB966:AG966"/>
    <mergeCell ref="AB967:AG967"/>
    <mergeCell ref="AB968:AG968"/>
    <mergeCell ref="AB969:AG969"/>
    <mergeCell ref="AH947:AM947"/>
    <mergeCell ref="AH948:AM948"/>
    <mergeCell ref="AH949:AM949"/>
    <mergeCell ref="AH950:AM950"/>
    <mergeCell ref="AH951:AM951"/>
    <mergeCell ref="AH952:AM952"/>
    <mergeCell ref="AH953:AM953"/>
    <mergeCell ref="AH954:AM954"/>
    <mergeCell ref="AH955:AM955"/>
    <mergeCell ref="AH956:AM956"/>
    <mergeCell ref="AH957:AM957"/>
    <mergeCell ref="AH958:AM958"/>
    <mergeCell ref="AH959:AM959"/>
    <mergeCell ref="AH960:AM960"/>
    <mergeCell ref="AH961:AM961"/>
    <mergeCell ref="AH962:AM962"/>
    <mergeCell ref="AH963:AM963"/>
    <mergeCell ref="AH964:AM964"/>
    <mergeCell ref="AH965:AM965"/>
    <mergeCell ref="AH966:AM966"/>
    <mergeCell ref="AH967:AM967"/>
    <mergeCell ref="AH968:AM968"/>
    <mergeCell ref="AH969:AM969"/>
    <mergeCell ref="AB947:AG947"/>
    <mergeCell ref="C1033:G1033"/>
    <mergeCell ref="C1034:G1034"/>
    <mergeCell ref="C1035:G1035"/>
    <mergeCell ref="C1036:G1036"/>
    <mergeCell ref="AB1024:AG1024"/>
    <mergeCell ref="AB1025:AG1025"/>
    <mergeCell ref="AB1026:AG1026"/>
    <mergeCell ref="AB1027:AG1027"/>
    <mergeCell ref="AB1028:AG1028"/>
    <mergeCell ref="AB1029:AG1029"/>
    <mergeCell ref="AB1030:AG1030"/>
    <mergeCell ref="AB1031:AG1031"/>
    <mergeCell ref="AB1032:AG1032"/>
    <mergeCell ref="AB1033:AG1033"/>
    <mergeCell ref="AB1034:AG1034"/>
    <mergeCell ref="AB1035:AG1035"/>
    <mergeCell ref="AB1036:AG1036"/>
    <mergeCell ref="C1037:G1037"/>
    <mergeCell ref="C1038:G1038"/>
    <mergeCell ref="C1039:G1039"/>
    <mergeCell ref="C1040:G1040"/>
    <mergeCell ref="C1041:G1041"/>
    <mergeCell ref="H1024:AA1024"/>
    <mergeCell ref="H1025:AA1025"/>
    <mergeCell ref="H1026:AA1026"/>
    <mergeCell ref="H1027:AA1027"/>
    <mergeCell ref="H1028:AA1028"/>
    <mergeCell ref="H1029:AA1029"/>
    <mergeCell ref="H1030:AA1030"/>
    <mergeCell ref="H1031:AA1031"/>
    <mergeCell ref="H1032:AA1032"/>
    <mergeCell ref="H1033:AA1033"/>
    <mergeCell ref="H1034:AA1034"/>
    <mergeCell ref="H1035:AA1035"/>
    <mergeCell ref="H1036:AA1036"/>
    <mergeCell ref="H1037:AA1037"/>
    <mergeCell ref="H1038:AA1038"/>
    <mergeCell ref="H1039:AA1039"/>
    <mergeCell ref="H1040:AA1040"/>
    <mergeCell ref="H1041:AA1041"/>
    <mergeCell ref="C1024:G1024"/>
    <mergeCell ref="C1025:G1025"/>
    <mergeCell ref="C1026:G1026"/>
    <mergeCell ref="C1027:G1027"/>
    <mergeCell ref="C1028:G1028"/>
    <mergeCell ref="C1029:G1029"/>
    <mergeCell ref="C1030:G1030"/>
    <mergeCell ref="C1031:G1031"/>
    <mergeCell ref="C1032:G1032"/>
    <mergeCell ref="AB1041:AG1041"/>
    <mergeCell ref="AH1024:AM1024"/>
    <mergeCell ref="AH1025:AM1025"/>
    <mergeCell ref="AH1026:AM1026"/>
    <mergeCell ref="AH1027:AM1027"/>
    <mergeCell ref="AH1028:AM1028"/>
    <mergeCell ref="AH1029:AM1029"/>
    <mergeCell ref="AH1030:AM1030"/>
    <mergeCell ref="AH1031:AM1031"/>
    <mergeCell ref="AH1032:AM1032"/>
    <mergeCell ref="AH1033:AM1033"/>
    <mergeCell ref="AH1034:AM1034"/>
    <mergeCell ref="AH1035:AM1035"/>
    <mergeCell ref="AH1036:AM1036"/>
    <mergeCell ref="AH1037:AM1037"/>
    <mergeCell ref="AH1038:AM1038"/>
    <mergeCell ref="AH1039:AM1039"/>
    <mergeCell ref="AH1040:AM1040"/>
    <mergeCell ref="AH1041:AM1041"/>
    <mergeCell ref="AH991:AM991"/>
    <mergeCell ref="AH992:AM992"/>
    <mergeCell ref="AH993:AM993"/>
    <mergeCell ref="AH994:AM994"/>
    <mergeCell ref="AH995:AM995"/>
    <mergeCell ref="AH996:AM996"/>
    <mergeCell ref="AH997:AM997"/>
    <mergeCell ref="AH998:AM998"/>
    <mergeCell ref="AH999:AM999"/>
    <mergeCell ref="AH1000:AM1000"/>
    <mergeCell ref="AH1001:AM1001"/>
    <mergeCell ref="AH1002:AM1002"/>
    <mergeCell ref="AH1003:AM1003"/>
    <mergeCell ref="AB1037:AG1037"/>
    <mergeCell ref="AB1038:AG1038"/>
    <mergeCell ref="AB1039:AG1039"/>
    <mergeCell ref="AB1040:AG1040"/>
    <mergeCell ref="AB988:AG988"/>
    <mergeCell ref="AB989:AG989"/>
    <mergeCell ref="AB990:AG990"/>
    <mergeCell ref="AB991:AG991"/>
    <mergeCell ref="AB992:AG992"/>
    <mergeCell ref="AB993:AG993"/>
    <mergeCell ref="AB994:AG994"/>
    <mergeCell ref="AB995:AG995"/>
    <mergeCell ref="AB996:AG996"/>
    <mergeCell ref="AB997:AG997"/>
    <mergeCell ref="AB998:AG998"/>
    <mergeCell ref="AB999:AG999"/>
    <mergeCell ref="AB1000:AG1000"/>
    <mergeCell ref="AB1001:AG1001"/>
    <mergeCell ref="AB1002:AG1002"/>
    <mergeCell ref="AB1003:AG1003"/>
    <mergeCell ref="AB1004:AG1004"/>
    <mergeCell ref="H1008:AA1008"/>
    <mergeCell ref="H1009:AA1009"/>
    <mergeCell ref="H1004:AA1004"/>
    <mergeCell ref="H1005:AA1005"/>
    <mergeCell ref="H1006:AA1006"/>
    <mergeCell ref="H1007:AA1007"/>
    <mergeCell ref="H1010:AA1010"/>
    <mergeCell ref="H1011:AA1011"/>
    <mergeCell ref="H1012:AA1012"/>
    <mergeCell ref="H1013:AA1013"/>
    <mergeCell ref="H1014:AA1014"/>
    <mergeCell ref="H1015:AA1015"/>
    <mergeCell ref="H1016:AA1016"/>
    <mergeCell ref="H1017:AA1017"/>
    <mergeCell ref="AB1011:AG1011"/>
    <mergeCell ref="H1022:AA1022"/>
    <mergeCell ref="AH1019:AM1019"/>
    <mergeCell ref="AH1020:AM1020"/>
    <mergeCell ref="AH1021:AM1021"/>
    <mergeCell ref="AH1022:AM1022"/>
    <mergeCell ref="AB1005:AG1005"/>
    <mergeCell ref="AB1006:AG1006"/>
    <mergeCell ref="AB1007:AG1007"/>
    <mergeCell ref="AB1008:AG1008"/>
    <mergeCell ref="AB1009:AG1009"/>
    <mergeCell ref="AB1010:AG1010"/>
    <mergeCell ref="AH1004:AM1004"/>
    <mergeCell ref="AH1005:AM1005"/>
    <mergeCell ref="AH1006:AM1006"/>
    <mergeCell ref="AH1007:AM1007"/>
    <mergeCell ref="AH1008:AM1008"/>
    <mergeCell ref="AH1009:AM1009"/>
    <mergeCell ref="C993:G993"/>
    <mergeCell ref="C994:G994"/>
    <mergeCell ref="C995:G995"/>
    <mergeCell ref="C996:G996"/>
    <mergeCell ref="C997:G997"/>
    <mergeCell ref="C998:G998"/>
    <mergeCell ref="C999:G999"/>
    <mergeCell ref="C1000:G1000"/>
    <mergeCell ref="C1001:G1001"/>
    <mergeCell ref="C1002:G1002"/>
    <mergeCell ref="C1003:G1003"/>
    <mergeCell ref="C1004:G1004"/>
    <mergeCell ref="H989:AA989"/>
    <mergeCell ref="H990:AA990"/>
    <mergeCell ref="H991:AA991"/>
    <mergeCell ref="H992:AA992"/>
    <mergeCell ref="H993:AA993"/>
    <mergeCell ref="H994:AA994"/>
    <mergeCell ref="H995:AA995"/>
    <mergeCell ref="H996:AA996"/>
    <mergeCell ref="H997:AA997"/>
    <mergeCell ref="H998:AA998"/>
    <mergeCell ref="H999:AA999"/>
    <mergeCell ref="H1000:AA1000"/>
    <mergeCell ref="H1001:AA1001"/>
    <mergeCell ref="H1002:AA1002"/>
    <mergeCell ref="H1003:AA1003"/>
    <mergeCell ref="H988:AA988"/>
    <mergeCell ref="C1020:G1020"/>
    <mergeCell ref="C1021:G1021"/>
    <mergeCell ref="AB1012:AG1012"/>
    <mergeCell ref="AB1013:AG1013"/>
    <mergeCell ref="AB1014:AG1014"/>
    <mergeCell ref="AB1015:AG1015"/>
    <mergeCell ref="AB1016:AG1016"/>
    <mergeCell ref="AB1017:AG1017"/>
    <mergeCell ref="H1018:AA1018"/>
    <mergeCell ref="H1019:AA1019"/>
    <mergeCell ref="H1020:AA1020"/>
    <mergeCell ref="H1021:AA1021"/>
    <mergeCell ref="AB1018:AG1018"/>
    <mergeCell ref="AB1019:AG1019"/>
    <mergeCell ref="AB1020:AG1020"/>
    <mergeCell ref="AB1021:AG1021"/>
    <mergeCell ref="C1011:G1011"/>
    <mergeCell ref="C1012:G1012"/>
    <mergeCell ref="C1013:G1013"/>
    <mergeCell ref="C1014:G1014"/>
    <mergeCell ref="C1015:G1015"/>
    <mergeCell ref="C1016:G1016"/>
    <mergeCell ref="C1017:G1017"/>
    <mergeCell ref="C1018:G1018"/>
    <mergeCell ref="C1019:G1019"/>
    <mergeCell ref="C1010:G1010"/>
    <mergeCell ref="C988:G988"/>
    <mergeCell ref="C989:G989"/>
    <mergeCell ref="C990:G990"/>
    <mergeCell ref="C991:G991"/>
    <mergeCell ref="C992:G992"/>
    <mergeCell ref="C1022:G1022"/>
    <mergeCell ref="AB1022:AG1022"/>
    <mergeCell ref="C971:G971"/>
    <mergeCell ref="C972:G972"/>
    <mergeCell ref="C973:G973"/>
    <mergeCell ref="C974:G974"/>
    <mergeCell ref="C975:G975"/>
    <mergeCell ref="C976:G976"/>
    <mergeCell ref="C977:G977"/>
    <mergeCell ref="C978:G978"/>
    <mergeCell ref="C979:G979"/>
    <mergeCell ref="C980:G980"/>
    <mergeCell ref="C981:G981"/>
    <mergeCell ref="C982:G982"/>
    <mergeCell ref="C983:G983"/>
    <mergeCell ref="C984:G984"/>
    <mergeCell ref="C985:G985"/>
    <mergeCell ref="C986:G986"/>
    <mergeCell ref="C1009:G1009"/>
    <mergeCell ref="C1005:G1005"/>
    <mergeCell ref="C1006:G1006"/>
    <mergeCell ref="C1007:G1007"/>
    <mergeCell ref="C1008:G1008"/>
    <mergeCell ref="H971:AA971"/>
    <mergeCell ref="H972:AA972"/>
    <mergeCell ref="H973:AA973"/>
    <mergeCell ref="H974:AA974"/>
    <mergeCell ref="H975:AA975"/>
    <mergeCell ref="H976:AA976"/>
    <mergeCell ref="H977:AA977"/>
    <mergeCell ref="H978:AA978"/>
    <mergeCell ref="H979:AA979"/>
    <mergeCell ref="AN965:AS965"/>
    <mergeCell ref="AN966:AS966"/>
    <mergeCell ref="AN967:AS967"/>
    <mergeCell ref="AN968:AS968"/>
    <mergeCell ref="AN969:AS969"/>
    <mergeCell ref="AN971:AS971"/>
    <mergeCell ref="AN972:AS972"/>
    <mergeCell ref="AN973:AS973"/>
    <mergeCell ref="AN974:AS974"/>
    <mergeCell ref="H980:AA980"/>
    <mergeCell ref="H981:AA981"/>
    <mergeCell ref="H982:AA982"/>
    <mergeCell ref="H983:AA983"/>
    <mergeCell ref="H984:AA984"/>
    <mergeCell ref="H985:AA985"/>
    <mergeCell ref="H986:AA986"/>
    <mergeCell ref="AB971:AG971"/>
    <mergeCell ref="AB972:AG972"/>
    <mergeCell ref="AB973:AG973"/>
    <mergeCell ref="AB974:AG974"/>
    <mergeCell ref="AB975:AG975"/>
    <mergeCell ref="AB976:AG976"/>
    <mergeCell ref="AB977:AG977"/>
    <mergeCell ref="AB978:AG978"/>
    <mergeCell ref="AB979:AG979"/>
    <mergeCell ref="AB980:AG980"/>
    <mergeCell ref="AB981:AG981"/>
    <mergeCell ref="AB982:AG982"/>
    <mergeCell ref="AB983:AG983"/>
    <mergeCell ref="AB984:AG984"/>
    <mergeCell ref="AB985:AG985"/>
    <mergeCell ref="AB986:AG986"/>
    <mergeCell ref="AN947:AS947"/>
    <mergeCell ref="AN948:AS948"/>
    <mergeCell ref="AN949:AS949"/>
    <mergeCell ref="AN950:AS950"/>
    <mergeCell ref="AN951:AS951"/>
    <mergeCell ref="AN952:AS952"/>
    <mergeCell ref="AN953:AS953"/>
    <mergeCell ref="AN954:AS954"/>
    <mergeCell ref="AN955:AS955"/>
    <mergeCell ref="AN956:AS956"/>
    <mergeCell ref="AN957:AS957"/>
    <mergeCell ref="AN958:AS958"/>
    <mergeCell ref="AN959:AS959"/>
    <mergeCell ref="AN960:AS960"/>
    <mergeCell ref="AN961:AS961"/>
    <mergeCell ref="AN962:AS962"/>
    <mergeCell ref="AN964:AS964"/>
    <mergeCell ref="AN1040:AS1040"/>
    <mergeCell ref="AN981:AS981"/>
    <mergeCell ref="AN982:AS982"/>
    <mergeCell ref="AN983:AS983"/>
    <mergeCell ref="AN984:AS984"/>
    <mergeCell ref="AN985:AS985"/>
    <mergeCell ref="AN986:AS986"/>
    <mergeCell ref="AN988:AS988"/>
    <mergeCell ref="AN989:AS989"/>
    <mergeCell ref="AN990:AS990"/>
    <mergeCell ref="AN991:AS991"/>
    <mergeCell ref="AN992:AS992"/>
    <mergeCell ref="AN993:AS993"/>
    <mergeCell ref="AN994:AS994"/>
    <mergeCell ref="AN995:AS995"/>
    <mergeCell ref="AN996:AS996"/>
    <mergeCell ref="AH981:AM981"/>
    <mergeCell ref="AH982:AM982"/>
    <mergeCell ref="AH983:AM983"/>
    <mergeCell ref="AH984:AM984"/>
    <mergeCell ref="AH985:AM985"/>
    <mergeCell ref="AH986:AM986"/>
    <mergeCell ref="AH1010:AM1010"/>
    <mergeCell ref="AH1011:AM1011"/>
    <mergeCell ref="AH1012:AM1012"/>
    <mergeCell ref="AH1013:AM1013"/>
    <mergeCell ref="AH1014:AM1014"/>
    <mergeCell ref="AH1015:AM1015"/>
    <mergeCell ref="AH1016:AM1016"/>
    <mergeCell ref="AH1017:AM1017"/>
    <mergeCell ref="AH1018:AM1018"/>
    <mergeCell ref="AH990:AM990"/>
    <mergeCell ref="C863:AS863"/>
    <mergeCell ref="C970:AS970"/>
    <mergeCell ref="C987:AS987"/>
    <mergeCell ref="C1023:AS1023"/>
    <mergeCell ref="AN1028:AS1028"/>
    <mergeCell ref="AN1029:AS1029"/>
    <mergeCell ref="AN1030:AS1030"/>
    <mergeCell ref="AN1031:AS1031"/>
    <mergeCell ref="AN1032:AS1032"/>
    <mergeCell ref="AN1033:AS1033"/>
    <mergeCell ref="AN1034:AS1034"/>
    <mergeCell ref="AN1035:AS1035"/>
    <mergeCell ref="AN1036:AS1036"/>
    <mergeCell ref="AN1037:AS1037"/>
    <mergeCell ref="AN1038:AS1038"/>
    <mergeCell ref="AN1039:AS1039"/>
    <mergeCell ref="AN975:AS975"/>
    <mergeCell ref="AN976:AS976"/>
    <mergeCell ref="AN977:AS977"/>
    <mergeCell ref="AN978:AS978"/>
    <mergeCell ref="AN979:AS979"/>
    <mergeCell ref="AN980:AS980"/>
    <mergeCell ref="AH971:AM971"/>
    <mergeCell ref="AH972:AM972"/>
    <mergeCell ref="AH973:AM973"/>
    <mergeCell ref="AH974:AM974"/>
    <mergeCell ref="AH975:AM975"/>
    <mergeCell ref="AH976:AM976"/>
    <mergeCell ref="AH977:AM977"/>
    <mergeCell ref="AH978:AM978"/>
    <mergeCell ref="AH979:AM979"/>
    <mergeCell ref="AH980:AM980"/>
    <mergeCell ref="AN997:AS997"/>
    <mergeCell ref="AN998:AS998"/>
    <mergeCell ref="AN999:AS999"/>
    <mergeCell ref="AN1000:AS1000"/>
    <mergeCell ref="AN1001:AS1001"/>
    <mergeCell ref="AN1002:AS1002"/>
    <mergeCell ref="AN1003:AS1003"/>
    <mergeCell ref="AN1004:AS1004"/>
    <mergeCell ref="AN1005:AS1005"/>
    <mergeCell ref="AN1006:AS1006"/>
    <mergeCell ref="AN1007:AS1007"/>
    <mergeCell ref="AN1008:AS1008"/>
    <mergeCell ref="AN1009:AS1009"/>
    <mergeCell ref="AN1010:AS1010"/>
    <mergeCell ref="AN1011:AS1011"/>
    <mergeCell ref="AN963:AS963"/>
    <mergeCell ref="AN1041:AS1041"/>
    <mergeCell ref="AN1012:AS1012"/>
    <mergeCell ref="AN1013:AS1013"/>
    <mergeCell ref="AN1014:AS1014"/>
    <mergeCell ref="AN1015:AS1015"/>
    <mergeCell ref="AN1018:AS1018"/>
    <mergeCell ref="AN1016:AS1016"/>
    <mergeCell ref="AN1017:AS1017"/>
    <mergeCell ref="AN1019:AS1019"/>
    <mergeCell ref="AN1020:AS1020"/>
    <mergeCell ref="AN1024:AS1024"/>
    <mergeCell ref="AN1021:AS1021"/>
    <mergeCell ref="AN1022:AS1022"/>
    <mergeCell ref="AN1025:AS1025"/>
    <mergeCell ref="AN1026:AS1026"/>
    <mergeCell ref="AN1027:AS1027"/>
  </mergeCells>
  <conditionalFormatting sqref="E1279:E1283 E1256:E1275 E1213:E1252 E1145:E1211 E1133:E1141 E1114:E1131 E1104:E1110 E1085:E1102 E1067:E1081 E1048:E1065">
    <cfRule type="duplicateValues" dxfId="7" priority="1"/>
  </conditionalFormatting>
  <hyperlinks>
    <hyperlink ref="C4:AM4" location="'Гигатерм Прайс'!C108" display="Тепловычислители ТВ7М (Термотроник) + опции, доп. оборудование."/>
    <hyperlink ref="C5:AM5" location="'Гигатерм Прайс'!A136" display="Тепловычислители СПТ (НПФ Логика) + накопители, адаптеры"/>
    <hyperlink ref="C6:AM6" location="'Гигатерм Прайс'!A168" display="Тепловычислители ВКТ, вычислители ВКГ (Теплоком/ИВТ) +  опции, доп. оборудование"/>
    <hyperlink ref="C7:AM7" location="'Гигатерм Прайс'!A208" display="Тепловычислители ТМК (Промприбор) + опции, доп. оборудование."/>
    <hyperlink ref="C8:AM8" location="'Гигатерм Прайс'!A244" display="Тепловычислители ЭЛЬФ/КАРАТ-306/КАРАТ-307/КАРАТ-308 (Уралтехнология) + встраиваемые модули"/>
    <hyperlink ref="C9:AM9" location="'Гигатерм Прайс'!A274" display="Тепловычислители ТСРВ (Взлет) + опции"/>
    <hyperlink ref="C13:AM13" location="'Гигатерм Прайс'!A285" display="Корректоры СПГ (ЛОГИКА), ВКГ (ТЕПЛОКОМ)"/>
    <hyperlink ref="C16:AM16" location="'Гигатерм Прайс'!A320" display="Расходомеры ПРЭМ электромагнитные + опции, КМЧ, имитаторы, пиварные детали (Теплоком/ИВТ) "/>
    <hyperlink ref="C17:AM17" location="'Гигатерм Прайс'!A394" display="Расходомеры Мастерфлоу электромагнитные + доп. Модули, КМЧ, имитаторы (Промприбор)"/>
    <hyperlink ref="C18:AM18" location="'Гигатерм Прайс'!A469" display="Расходомеры Мастерфлоу 5.2.2 электромагнитные + доп. Оборудование (Конвент)"/>
    <hyperlink ref="C19:AM19" location="'Гигатерм Прайс'!A504" display="Расходомеры ВПС вихревые (Промприбор)"/>
    <hyperlink ref="C20:AM20" location="'Гигатерм Прайс'!A560" display="Расходомеры Питерфлоу РС электромагнитные + адаптеры, имитаторы (Термотроник)"/>
    <hyperlink ref="C21:AM21" location="'Гигатерм Прайс'!A800" display="Расходомеры Питерфлоу СВ электромагнитные + адаптеры, имитаторы (Термотроник) "/>
    <hyperlink ref="C22:AM22" location="'Гигатерм Прайс'!A887" display="Расходомеры ВЭПС-Р вихревые + монажные части (ПРОМСЕРВИС)"/>
    <hyperlink ref="C23:AM23" location="'Гигатерм Прайс'!A923" display="Расходомеры ЭМИР-ПРАМЕР вихревые (ПРОМСЕРВИС)"/>
    <hyperlink ref="C24:AM24" location="'Гигатерм Прайс'!A951" display="Расходомеры КАРАТ-520 ультразвуковые (Уралтехнология)"/>
    <hyperlink ref="C25:AM25" location="'Гигатерм Прайс'!A991" display="Расходомеры Карат-РС ультразвуковые (Уралтехнология)"/>
    <hyperlink ref="C26:AM26" location="'Гигатерм Прайс'!A1023" display="Расходомеры КАРАТ-551 электромагнитные (Уралтехнология)"/>
    <hyperlink ref="C27:AM27" location="'Гигатерм Прайс'!A1061" display="Расходомеры ЭРСВ ЛАЙТ-М электромагнитные + опции, присоед. арматура, имитаторы (ВЗЛЕТ) "/>
    <hyperlink ref="C31:AM31" location="'Гигатерм Прайс'!A1146" display="Ультразвуковые счетчики СТУ1, УРЖ2КМ, в т.ч. УПР, ПЭП, доп. опции, комплектующие (ТЕСС-ИНЖИНИРИНГ)"/>
    <hyperlink ref="C32:AM32" location="'Гигатерм Прайс'!A1266" display="Погодные регуляторы САРТЭГ + блок МИККОНТ, датчики (ТЕСС-ИНЖИНИРИНГ)"/>
    <hyperlink ref="C36:AM36" location="'Гигатерм Прайс'!A1299" display="Расходомеры ЭХО-Р-02 акустические для открытых каналов и безнапорных трубопроводов (СИГНУР) "/>
    <hyperlink ref="C37:AM37" location="'Гигатерм Прайс'!A1311" display="Расходомеры АКРОН-01 ультразвуковые накладные для напорных трубопроводов (СИГНУР) "/>
    <hyperlink ref="C38:AM38" location="'Гигатерм Прайс'!A1324" display="Расходомеры АКРОН-02-1 ультразвуковые накладные двухкорпусные для напорных трубопроводов (СИГНУР) "/>
    <hyperlink ref="C39:AM39" location="'Гигатерм Прайс'!A1331" display="Расходомеры АКРОН-02 ультразвуковые накладные двухканальные (двухлучевые) (СИГНУР)"/>
    <hyperlink ref="C40:AM40" location="'Гигатерм Прайс'!A1342" display="Расходомеры АКРОН-01 Портативные измерительные комплекты (СИГНУР)"/>
    <hyperlink ref="C43:AM43" location="'Гигатерм Прайс'!A1345" display="ЭХО-АС-01 Датчик уровня (уровнемер) акустический (СИГНУР)"/>
    <hyperlink ref="C46:AM46" location="'Гигатерм Прайс'!A1384" display="Датчики расхода ДРГ.М,  ДРГ.МЗ, ДРГ.МЗЛ (АО ИПФ &quot;СибНА&quot;) + КМЧ для ДРГ.М"/>
    <hyperlink ref="C47:AM47" location="'Гигатерм Прайс'!A1406" display="Датчики расхода ДРГ.МЗ (АО ИПФ &quot;СибНА&quot;) + КМЧ для ДРГ.МЗ"/>
    <hyperlink ref="C48:AM48" location="'Гигатерм Прайс'!A1410" display="Датчики расхода ДРГ.МЗЛ (АО ИПФ &quot;СибНА&quot;) (с лубрикатором)"/>
    <hyperlink ref="C49:AM49" location="'Гигатерм Прайс'!A1417" display="Контроллеры БВР.М, МИКОНТ (АО ИПФ &quot;СибНА&quot;)"/>
    <hyperlink ref="C53:AM53" location="'Гигатерм Прайс'!A1436" display="Счетчики ВСХ(д), ВСГ(д), ВСТ Ду15…250 (Тепловодомер)"/>
    <hyperlink ref="C54:AM54" location="'Гигатерм Прайс'!A1536" display="Счетчики ETK / ETW квартирные Ду15...20 (ZENNER) "/>
    <hyperlink ref="C55:AM55" location="'Гигатерм Прайс'!A1556" display="Счетчики MTK-N / MTW-N домовые  Ду20…50 (ZENNER) "/>
    <hyperlink ref="C56:AM56" location="'Гигатерм Прайс'!A1584" display="Счетчики  WPH ВОЛЬТМАНА турбинные Ду50…400 (ZENNER)"/>
    <hyperlink ref="C57:AM57" location="'Гигатерм Прайс'!A1647" display="Счетчики СВКМ Ду15...50 (Норма ИС)"/>
    <hyperlink ref="C60:AM60" location="'Гигатерм Прайс'!A1729" display="КТПТР/ТПТ термометры сопротивления  (Термико)"/>
    <hyperlink ref="C61:AM61" location="'Гигатерм Прайс'!A1757" display="КТСП-Н/ТСП-Н  термометры сопротивления  (Интэп)"/>
    <hyperlink ref="C62:AM62" location="'Гигатерм Прайс'!A1777" display="КТС-Б/ТС-Б  термометры сопротивления  (Термопойнт)"/>
    <hyperlink ref="C63:AM63" location="'Гигатерм Прайс'!A1790" display="Гильзы для термометров сопротивления"/>
    <hyperlink ref="C66:AM66" location="'Гигатерм Прайс'!A1827" display="Преобразователи давления для узлов учета тепла"/>
    <hyperlink ref="C67:AM67" location="'Гигатерм Прайс'!A1836" display="СДВ-А общепромышленные датчики абсолютного давления"/>
    <hyperlink ref="C68:AM68" location="'Гигатерм Прайс'!A1845" display="СДВ-И общепромышленные датчики избыточного давления"/>
    <hyperlink ref="C70:AM70" location="'Гигатерм Прайс'!A1874" display="&quot;ОВЕН&quot; - ОБОРУДОВАНИЕ ДЛЯ АВТОМАТИЗАЦИИ "/>
    <hyperlink ref="C72:AM72" location="'Гигатерм Прайс'!A2222" display="&quot;СИСТЕМЫ КОНТРОЛЯ&quot; - ОБОРУДОВАНИЕ ДЛЯ АВТОМАТИЗАЦИИ "/>
    <hyperlink ref="C12:AM12" location="'Гигатерм Прайс'!A285" display="Корректоры СПГ (ЛОГИКА), ВКГ (ТЕПЛОКОМ)"/>
    <hyperlink ref="C52:AM52" location="'Гигатерм Прайс'!A1436" display="Счетчики ВСХ(д), ВСГ(д), ВСТ Ду15…250 (Тепловодомер)"/>
  </hyperlinks>
  <pageMargins left="0.70866141732283472" right="0.78740157480314965" top="0.74803149606299213" bottom="0.51181102362204722" header="0.31496062992125984" footer="0.31496062992125984"/>
  <pageSetup paperSize="9" scale="64" fitToHeight="0" orientation="portrait" r:id="rId1"/>
  <headerFooter>
    <oddHeader>&amp;RПРАЙС-ЛИСТ  ООО Гигатерм, тел.: +7(343)288-0-321 email: gt@gigaterm.ru, www.gigaterm.ru / Страница &amp;P</oddHeader>
    <oddFooter>&amp;RПРАЙС-ЛИСТ  ООО Гигатерм, тел.: +7(343)288-0-321 email: gt@gigaterm.ru, www.gigaterm.ru  / Страница &amp;P</oddFooter>
  </headerFooter>
  <rowBreaks count="1" manualBreakCount="1">
    <brk id="7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9"/>
  <sheetViews>
    <sheetView workbookViewId="0">
      <selection sqref="A1:XFD1048576"/>
    </sheetView>
  </sheetViews>
  <sheetFormatPr defaultRowHeight="21.75" customHeight="1" x14ac:dyDescent="0.25"/>
  <cols>
    <col min="1" max="1" width="7.5703125" style="270" customWidth="1"/>
    <col min="2" max="2" width="21.7109375" style="270" customWidth="1"/>
    <col min="3" max="6" width="0.28515625" style="270" customWidth="1"/>
    <col min="7" max="7" width="0.140625" style="270" customWidth="1"/>
    <col min="8" max="10" width="7.5703125" style="270" hidden="1" customWidth="1"/>
    <col min="11" max="11" width="16.5703125" style="270" customWidth="1"/>
    <col min="12" max="16384" width="9.140625" style="270"/>
  </cols>
  <sheetData>
    <row r="1" spans="1:12" ht="21.75" customHeight="1" x14ac:dyDescent="0.25">
      <c r="A1" s="743" t="s">
        <v>892</v>
      </c>
      <c r="B1" s="745" t="s">
        <v>893</v>
      </c>
      <c r="C1" s="747" t="s">
        <v>894</v>
      </c>
      <c r="D1" s="747" t="s">
        <v>895</v>
      </c>
      <c r="E1" s="747" t="s">
        <v>896</v>
      </c>
      <c r="F1" s="747" t="s">
        <v>897</v>
      </c>
      <c r="G1" s="740" t="s">
        <v>898</v>
      </c>
      <c r="H1" s="742" t="s">
        <v>899</v>
      </c>
      <c r="I1" s="742"/>
      <c r="J1" s="742"/>
      <c r="K1" s="742"/>
    </row>
    <row r="2" spans="1:12" ht="21.75" customHeight="1" thickBot="1" x14ac:dyDescent="0.3">
      <c r="A2" s="744"/>
      <c r="B2" s="746"/>
      <c r="C2" s="748"/>
      <c r="D2" s="748"/>
      <c r="E2" s="748"/>
      <c r="F2" s="748"/>
      <c r="G2" s="741"/>
      <c r="H2" s="257" t="s">
        <v>900</v>
      </c>
      <c r="I2" s="257" t="s">
        <v>901</v>
      </c>
      <c r="J2" s="257" t="s">
        <v>902</v>
      </c>
      <c r="K2" s="327" t="s">
        <v>903</v>
      </c>
    </row>
    <row r="3" spans="1:12" ht="21.75" customHeight="1" x14ac:dyDescent="0.25">
      <c r="A3" s="258">
        <v>1</v>
      </c>
      <c r="B3" s="259" t="s">
        <v>1937</v>
      </c>
      <c r="C3" s="260"/>
      <c r="D3" s="260"/>
      <c r="E3" s="260"/>
      <c r="F3" s="260"/>
      <c r="G3" s="261" t="s">
        <v>1938</v>
      </c>
      <c r="H3" s="262"/>
      <c r="I3" s="263"/>
      <c r="J3" s="263"/>
      <c r="K3" s="265">
        <v>35040</v>
      </c>
      <c r="L3" s="270" t="s">
        <v>1939</v>
      </c>
    </row>
    <row r="4" spans="1:12" ht="21.75" customHeight="1" x14ac:dyDescent="0.25">
      <c r="A4" s="258">
        <v>1</v>
      </c>
      <c r="B4" s="259" t="s">
        <v>1940</v>
      </c>
      <c r="C4" s="260"/>
      <c r="D4" s="260"/>
      <c r="E4" s="260"/>
      <c r="F4" s="260"/>
      <c r="G4" s="261" t="s">
        <v>1941</v>
      </c>
      <c r="H4" s="262"/>
      <c r="I4" s="263"/>
      <c r="J4" s="263"/>
      <c r="K4" s="264">
        <v>52200</v>
      </c>
      <c r="L4" s="270" t="s">
        <v>1939</v>
      </c>
    </row>
    <row r="5" spans="1:12" ht="21.75" customHeight="1" x14ac:dyDescent="0.25">
      <c r="A5" s="258">
        <v>1</v>
      </c>
      <c r="B5" s="259" t="s">
        <v>1942</v>
      </c>
      <c r="C5" s="260"/>
      <c r="D5" s="260"/>
      <c r="E5" s="260"/>
      <c r="F5" s="260"/>
      <c r="G5" s="261" t="s">
        <v>1943</v>
      </c>
      <c r="H5" s="262"/>
      <c r="I5" s="263"/>
      <c r="J5" s="263"/>
      <c r="K5" s="264">
        <v>39720</v>
      </c>
      <c r="L5" s="270" t="s">
        <v>1939</v>
      </c>
    </row>
    <row r="6" spans="1:12" ht="21.75" customHeight="1" x14ac:dyDescent="0.25">
      <c r="A6" s="258">
        <v>1</v>
      </c>
      <c r="B6" s="259" t="s">
        <v>1944</v>
      </c>
      <c r="C6" s="260"/>
      <c r="D6" s="260"/>
      <c r="E6" s="260"/>
      <c r="F6" s="260"/>
      <c r="G6" s="261" t="s">
        <v>1945</v>
      </c>
      <c r="H6" s="262"/>
      <c r="I6" s="263"/>
      <c r="J6" s="263"/>
      <c r="K6" s="264">
        <v>0</v>
      </c>
      <c r="L6" s="270" t="s">
        <v>1939</v>
      </c>
    </row>
    <row r="7" spans="1:12" ht="21.75" customHeight="1" x14ac:dyDescent="0.25">
      <c r="A7" s="258">
        <v>1</v>
      </c>
      <c r="B7" s="259" t="s">
        <v>1946</v>
      </c>
      <c r="C7" s="260"/>
      <c r="D7" s="260"/>
      <c r="E7" s="260"/>
      <c r="F7" s="260"/>
      <c r="G7" s="261" t="s">
        <v>1947</v>
      </c>
      <c r="H7" s="262"/>
      <c r="I7" s="263"/>
      <c r="J7" s="263"/>
      <c r="K7" s="264">
        <v>34440</v>
      </c>
      <c r="L7" s="270" t="s">
        <v>1939</v>
      </c>
    </row>
    <row r="8" spans="1:12" ht="21.75" customHeight="1" x14ac:dyDescent="0.25">
      <c r="A8" s="258">
        <v>1</v>
      </c>
      <c r="B8" s="259" t="s">
        <v>1948</v>
      </c>
      <c r="C8" s="260"/>
      <c r="D8" s="260"/>
      <c r="E8" s="260"/>
      <c r="F8" s="260"/>
      <c r="G8" s="261" t="s">
        <v>1949</v>
      </c>
      <c r="H8" s="262"/>
      <c r="I8" s="263"/>
      <c r="J8" s="263"/>
      <c r="K8" s="264">
        <v>57120</v>
      </c>
      <c r="L8" s="270" t="s">
        <v>1939</v>
      </c>
    </row>
    <row r="9" spans="1:12" ht="21.75" customHeight="1" x14ac:dyDescent="0.25">
      <c r="A9" s="258">
        <v>1</v>
      </c>
      <c r="B9" s="259" t="s">
        <v>1950</v>
      </c>
      <c r="C9" s="260"/>
      <c r="D9" s="260"/>
      <c r="E9" s="260"/>
      <c r="F9" s="260"/>
      <c r="G9" s="261" t="s">
        <v>1951</v>
      </c>
      <c r="H9" s="262"/>
      <c r="I9" s="263"/>
      <c r="J9" s="263"/>
      <c r="K9" s="264">
        <v>45120</v>
      </c>
      <c r="L9" s="270" t="s">
        <v>1939</v>
      </c>
    </row>
    <row r="10" spans="1:12" ht="21.75" customHeight="1" x14ac:dyDescent="0.25">
      <c r="A10" s="258">
        <v>1</v>
      </c>
      <c r="B10" s="259" t="s">
        <v>1952</v>
      </c>
      <c r="C10" s="260"/>
      <c r="D10" s="260"/>
      <c r="E10" s="260"/>
      <c r="F10" s="260"/>
      <c r="G10" s="261" t="s">
        <v>1953</v>
      </c>
      <c r="H10" s="262"/>
      <c r="I10" s="263"/>
      <c r="J10" s="263"/>
      <c r="K10" s="264">
        <v>0</v>
      </c>
      <c r="L10" s="270" t="s">
        <v>1939</v>
      </c>
    </row>
    <row r="11" spans="1:12" ht="21.75" customHeight="1" x14ac:dyDescent="0.25">
      <c r="A11" s="258">
        <v>1</v>
      </c>
      <c r="B11" s="259" t="s">
        <v>1954</v>
      </c>
      <c r="C11" s="260"/>
      <c r="D11" s="260"/>
      <c r="E11" s="260"/>
      <c r="F11" s="260"/>
      <c r="G11" s="261" t="s">
        <v>1955</v>
      </c>
      <c r="H11" s="262"/>
      <c r="I11" s="263"/>
      <c r="J11" s="263"/>
      <c r="K11" s="264">
        <v>57000</v>
      </c>
      <c r="L11" s="270" t="s">
        <v>1939</v>
      </c>
    </row>
    <row r="12" spans="1:12" ht="21.75" customHeight="1" x14ac:dyDescent="0.25">
      <c r="A12" s="258">
        <v>1</v>
      </c>
      <c r="B12" s="259" t="s">
        <v>1956</v>
      </c>
      <c r="C12" s="260"/>
      <c r="D12" s="260"/>
      <c r="E12" s="260"/>
      <c r="F12" s="260"/>
      <c r="G12" s="261" t="s">
        <v>1957</v>
      </c>
      <c r="H12" s="262"/>
      <c r="I12" s="263"/>
      <c r="J12" s="263"/>
      <c r="K12" s="264">
        <v>54240</v>
      </c>
      <c r="L12" s="270" t="s">
        <v>1939</v>
      </c>
    </row>
    <row r="13" spans="1:12" ht="21.75" customHeight="1" x14ac:dyDescent="0.25">
      <c r="A13" s="258">
        <v>1</v>
      </c>
      <c r="B13" s="259" t="s">
        <v>1958</v>
      </c>
      <c r="C13" s="260"/>
      <c r="D13" s="260"/>
      <c r="E13" s="260"/>
      <c r="F13" s="260"/>
      <c r="G13" s="261" t="s">
        <v>1959</v>
      </c>
      <c r="H13" s="262"/>
      <c r="I13" s="263"/>
      <c r="J13" s="263"/>
      <c r="K13" s="265">
        <v>26400</v>
      </c>
      <c r="L13" s="270" t="s">
        <v>1939</v>
      </c>
    </row>
    <row r="14" spans="1:12" ht="21.75" customHeight="1" x14ac:dyDescent="0.25">
      <c r="A14" s="258">
        <v>1</v>
      </c>
      <c r="B14" s="259" t="s">
        <v>1960</v>
      </c>
      <c r="C14" s="260"/>
      <c r="D14" s="260"/>
      <c r="E14" s="260"/>
      <c r="F14" s="260"/>
      <c r="G14" s="261" t="s">
        <v>1961</v>
      </c>
      <c r="H14" s="262"/>
      <c r="I14" s="263"/>
      <c r="J14" s="263"/>
      <c r="K14" s="264">
        <v>36000</v>
      </c>
      <c r="L14" s="270" t="s">
        <v>1939</v>
      </c>
    </row>
    <row r="15" spans="1:12" ht="21.75" customHeight="1" x14ac:dyDescent="0.25">
      <c r="A15" s="258">
        <v>1</v>
      </c>
      <c r="B15" s="259" t="s">
        <v>1901</v>
      </c>
      <c r="C15" s="260"/>
      <c r="D15" s="260"/>
      <c r="E15" s="260"/>
      <c r="F15" s="260"/>
      <c r="G15" s="261" t="s">
        <v>1962</v>
      </c>
      <c r="H15" s="262"/>
      <c r="I15" s="263"/>
      <c r="J15" s="263"/>
      <c r="K15" s="264">
        <v>14690.2</v>
      </c>
      <c r="L15" s="270" t="s">
        <v>1939</v>
      </c>
    </row>
    <row r="16" spans="1:12" ht="21.75" customHeight="1" x14ac:dyDescent="0.25">
      <c r="A16" s="258">
        <v>1</v>
      </c>
      <c r="B16" s="259" t="s">
        <v>1963</v>
      </c>
      <c r="C16" s="260"/>
      <c r="D16" s="260"/>
      <c r="E16" s="260"/>
      <c r="F16" s="260"/>
      <c r="G16" s="261" t="s">
        <v>1964</v>
      </c>
      <c r="H16" s="262"/>
      <c r="I16" s="263"/>
      <c r="J16" s="263"/>
      <c r="K16" s="264">
        <v>71640</v>
      </c>
      <c r="L16" s="270" t="s">
        <v>1939</v>
      </c>
    </row>
    <row r="17" spans="1:12" ht="21.75" customHeight="1" x14ac:dyDescent="0.25">
      <c r="A17" s="258">
        <v>1</v>
      </c>
      <c r="B17" s="259" t="s">
        <v>1965</v>
      </c>
      <c r="C17" s="260"/>
      <c r="D17" s="260"/>
      <c r="E17" s="260"/>
      <c r="F17" s="260"/>
      <c r="G17" s="261" t="s">
        <v>1966</v>
      </c>
      <c r="H17" s="262"/>
      <c r="I17" s="263"/>
      <c r="J17" s="263"/>
      <c r="K17" s="264">
        <v>12768</v>
      </c>
      <c r="L17" s="270" t="s">
        <v>1939</v>
      </c>
    </row>
    <row r="18" spans="1:12" ht="21.75" customHeight="1" x14ac:dyDescent="0.25">
      <c r="A18" s="251">
        <v>1</v>
      </c>
      <c r="B18" s="252" t="s">
        <v>1967</v>
      </c>
      <c r="C18" s="253"/>
      <c r="G18" s="270" t="s">
        <v>1968</v>
      </c>
      <c r="K18" s="270">
        <v>3768</v>
      </c>
      <c r="L18" s="270" t="s">
        <v>1939</v>
      </c>
    </row>
    <row r="19" spans="1:12" ht="21.75" customHeight="1" x14ac:dyDescent="0.25">
      <c r="A19" s="251">
        <v>1</v>
      </c>
      <c r="B19" s="252" t="s">
        <v>1969</v>
      </c>
      <c r="C19" s="253"/>
      <c r="G19" s="270" t="s">
        <v>1970</v>
      </c>
      <c r="K19" s="270">
        <v>4368</v>
      </c>
      <c r="L19" s="270" t="s">
        <v>1939</v>
      </c>
    </row>
    <row r="20" spans="1:12" ht="21.75" customHeight="1" x14ac:dyDescent="0.25">
      <c r="A20" s="251">
        <v>1</v>
      </c>
      <c r="B20" s="252" t="s">
        <v>1971</v>
      </c>
      <c r="C20" s="253"/>
      <c r="G20" s="270" t="s">
        <v>1972</v>
      </c>
      <c r="K20" s="266">
        <v>6192</v>
      </c>
      <c r="L20" s="270" t="s">
        <v>1939</v>
      </c>
    </row>
    <row r="21" spans="1:12" ht="21.75" customHeight="1" x14ac:dyDescent="0.25">
      <c r="A21" s="251">
        <v>1</v>
      </c>
      <c r="B21" s="252" t="s">
        <v>1973</v>
      </c>
      <c r="C21" s="253"/>
      <c r="G21" s="270" t="s">
        <v>1974</v>
      </c>
      <c r="K21" s="270">
        <v>4200</v>
      </c>
      <c r="L21" s="270" t="s">
        <v>1939</v>
      </c>
    </row>
    <row r="22" spans="1:12" ht="21.75" customHeight="1" x14ac:dyDescent="0.25">
      <c r="A22" s="251">
        <v>1</v>
      </c>
      <c r="B22" s="252" t="s">
        <v>1975</v>
      </c>
      <c r="C22" s="253"/>
      <c r="G22" s="270" t="s">
        <v>1976</v>
      </c>
      <c r="K22" s="270">
        <v>4800</v>
      </c>
      <c r="L22" s="270" t="s">
        <v>1939</v>
      </c>
    </row>
    <row r="23" spans="1:12" ht="21.75" customHeight="1" x14ac:dyDescent="0.25">
      <c r="A23" s="251">
        <v>1</v>
      </c>
      <c r="B23" s="252" t="s">
        <v>1977</v>
      </c>
      <c r="C23" s="253"/>
      <c r="G23" s="270" t="s">
        <v>1978</v>
      </c>
      <c r="K23" s="270">
        <v>3000</v>
      </c>
      <c r="L23" s="270" t="s">
        <v>1939</v>
      </c>
    </row>
    <row r="24" spans="1:12" ht="21.75" customHeight="1" x14ac:dyDescent="0.25">
      <c r="A24" s="251">
        <v>1</v>
      </c>
      <c r="B24" s="252" t="s">
        <v>1979</v>
      </c>
      <c r="C24" s="253"/>
      <c r="G24" s="270" t="s">
        <v>1980</v>
      </c>
      <c r="K24" s="270">
        <v>3120</v>
      </c>
      <c r="L24" s="270" t="s">
        <v>1939</v>
      </c>
    </row>
    <row r="25" spans="1:12" ht="21.75" customHeight="1" x14ac:dyDescent="0.25">
      <c r="A25" s="251">
        <v>1</v>
      </c>
      <c r="B25" s="252" t="s">
        <v>1981</v>
      </c>
      <c r="C25" s="253"/>
      <c r="G25" s="270" t="s">
        <v>1982</v>
      </c>
      <c r="K25" s="270">
        <v>3600</v>
      </c>
      <c r="L25" s="270" t="s">
        <v>1939</v>
      </c>
    </row>
    <row r="26" spans="1:12" ht="21.75" customHeight="1" x14ac:dyDescent="0.25">
      <c r="A26" s="251">
        <v>1</v>
      </c>
      <c r="B26" s="252" t="s">
        <v>1983</v>
      </c>
      <c r="C26" s="253"/>
      <c r="G26" s="270" t="s">
        <v>1984</v>
      </c>
      <c r="K26" s="270">
        <v>4200</v>
      </c>
      <c r="L26" s="270" t="s">
        <v>1939</v>
      </c>
    </row>
    <row r="27" spans="1:12" ht="21.75" customHeight="1" x14ac:dyDescent="0.25">
      <c r="A27" s="251">
        <v>1</v>
      </c>
      <c r="B27" s="252" t="s">
        <v>1985</v>
      </c>
      <c r="C27" s="253"/>
      <c r="G27" s="270" t="s">
        <v>1986</v>
      </c>
      <c r="K27" s="270">
        <v>4800</v>
      </c>
      <c r="L27" s="270" t="s">
        <v>1939</v>
      </c>
    </row>
    <row r="28" spans="1:12" ht="21.75" customHeight="1" x14ac:dyDescent="0.25">
      <c r="A28" s="251">
        <v>1</v>
      </c>
      <c r="B28" s="252" t="s">
        <v>1987</v>
      </c>
      <c r="C28" s="256"/>
      <c r="G28" s="270" t="s">
        <v>1988</v>
      </c>
      <c r="K28" s="270">
        <v>2760</v>
      </c>
      <c r="L28" s="270" t="s">
        <v>1939</v>
      </c>
    </row>
    <row r="29" spans="1:12" ht="21.75" customHeight="1" x14ac:dyDescent="0.25">
      <c r="A29" s="251">
        <v>1</v>
      </c>
      <c r="B29" s="252" t="s">
        <v>1989</v>
      </c>
      <c r="C29" s="253"/>
      <c r="G29" s="270" t="s">
        <v>1990</v>
      </c>
      <c r="K29" s="270">
        <v>3000</v>
      </c>
      <c r="L29" s="270" t="s">
        <v>1939</v>
      </c>
    </row>
    <row r="30" spans="1:12" ht="21.75" customHeight="1" x14ac:dyDescent="0.25">
      <c r="A30" s="251">
        <v>1</v>
      </c>
      <c r="B30" s="252" t="s">
        <v>1991</v>
      </c>
      <c r="C30" s="253"/>
      <c r="G30" s="270" t="s">
        <v>1992</v>
      </c>
      <c r="K30" s="270">
        <v>3120</v>
      </c>
      <c r="L30" s="270" t="s">
        <v>1939</v>
      </c>
    </row>
    <row r="31" spans="1:12" ht="21.75" customHeight="1" x14ac:dyDescent="0.25">
      <c r="A31" s="251">
        <v>1</v>
      </c>
      <c r="B31" s="252" t="s">
        <v>1993</v>
      </c>
      <c r="C31" s="253"/>
      <c r="G31" s="270" t="s">
        <v>1994</v>
      </c>
      <c r="K31" s="270">
        <v>3600</v>
      </c>
      <c r="L31" s="270" t="s">
        <v>1939</v>
      </c>
    </row>
    <row r="32" spans="1:12" ht="21.75" customHeight="1" x14ac:dyDescent="0.25">
      <c r="A32" s="251">
        <v>1</v>
      </c>
      <c r="B32" s="252" t="s">
        <v>1995</v>
      </c>
      <c r="C32" s="253"/>
      <c r="G32" s="270" t="s">
        <v>1996</v>
      </c>
      <c r="K32" s="270">
        <v>4200</v>
      </c>
      <c r="L32" s="270" t="s">
        <v>1939</v>
      </c>
    </row>
    <row r="33" spans="1:12" ht="21.75" customHeight="1" x14ac:dyDescent="0.25">
      <c r="A33" s="251">
        <v>1</v>
      </c>
      <c r="B33" s="252" t="s">
        <v>1997</v>
      </c>
      <c r="C33" s="253"/>
      <c r="G33" s="270" t="s">
        <v>1998</v>
      </c>
      <c r="K33" s="270">
        <v>5160</v>
      </c>
      <c r="L33" s="270" t="s">
        <v>1939</v>
      </c>
    </row>
    <row r="34" spans="1:12" ht="21.75" customHeight="1" x14ac:dyDescent="0.25">
      <c r="A34" s="251">
        <v>1</v>
      </c>
      <c r="B34" s="252" t="s">
        <v>1999</v>
      </c>
      <c r="C34" s="253"/>
      <c r="G34" s="270" t="s">
        <v>2000</v>
      </c>
      <c r="K34" s="270">
        <v>7800</v>
      </c>
      <c r="L34" s="270" t="s">
        <v>1939</v>
      </c>
    </row>
    <row r="35" spans="1:12" ht="21.75" customHeight="1" x14ac:dyDescent="0.25">
      <c r="A35" s="251">
        <v>1</v>
      </c>
      <c r="B35" s="252" t="s">
        <v>2001</v>
      </c>
      <c r="C35" s="253"/>
      <c r="G35" s="270" t="s">
        <v>2002</v>
      </c>
      <c r="K35" s="270">
        <v>10440</v>
      </c>
      <c r="L35" s="270" t="s">
        <v>1939</v>
      </c>
    </row>
    <row r="36" spans="1:12" ht="21.75" customHeight="1" x14ac:dyDescent="0.25">
      <c r="A36" s="251">
        <v>1</v>
      </c>
      <c r="B36" s="252" t="s">
        <v>2003</v>
      </c>
      <c r="C36" s="253"/>
      <c r="G36" s="270" t="s">
        <v>2004</v>
      </c>
      <c r="K36" s="270">
        <v>14400</v>
      </c>
      <c r="L36" s="270" t="s">
        <v>1939</v>
      </c>
    </row>
    <row r="37" spans="1:12" ht="21.75" customHeight="1" x14ac:dyDescent="0.25">
      <c r="A37" s="251">
        <v>1</v>
      </c>
      <c r="B37" s="252" t="s">
        <v>2005</v>
      </c>
      <c r="C37" s="253"/>
      <c r="G37" s="270" t="s">
        <v>2006</v>
      </c>
      <c r="K37" s="270">
        <v>22800</v>
      </c>
      <c r="L37" s="270" t="s">
        <v>1939</v>
      </c>
    </row>
    <row r="38" spans="1:12" ht="21.75" customHeight="1" x14ac:dyDescent="0.25">
      <c r="A38" s="251">
        <v>1</v>
      </c>
      <c r="B38" s="252" t="s">
        <v>2007</v>
      </c>
      <c r="C38" s="253"/>
      <c r="G38" s="270" t="s">
        <v>2008</v>
      </c>
      <c r="K38" s="270">
        <v>33600</v>
      </c>
      <c r="L38" s="270" t="s">
        <v>1939</v>
      </c>
    </row>
    <row r="39" spans="1:12" ht="21.75" customHeight="1" x14ac:dyDescent="0.25">
      <c r="A39" s="251">
        <v>1</v>
      </c>
      <c r="B39" s="252" t="s">
        <v>2009</v>
      </c>
      <c r="C39" s="253"/>
      <c r="G39" s="270" t="s">
        <v>2010</v>
      </c>
      <c r="K39" s="270">
        <v>5652</v>
      </c>
      <c r="L39" s="270" t="s">
        <v>1939</v>
      </c>
    </row>
    <row r="40" spans="1:12" ht="21.75" customHeight="1" x14ac:dyDescent="0.25">
      <c r="A40" s="251">
        <v>1</v>
      </c>
      <c r="B40" s="252" t="s">
        <v>2011</v>
      </c>
      <c r="C40" s="253"/>
      <c r="G40" s="270" t="s">
        <v>2012</v>
      </c>
      <c r="K40" s="270">
        <v>2016</v>
      </c>
      <c r="L40" s="270" t="s">
        <v>1939</v>
      </c>
    </row>
    <row r="41" spans="1:12" ht="21.75" customHeight="1" x14ac:dyDescent="0.25">
      <c r="A41" s="251">
        <v>1</v>
      </c>
      <c r="B41" s="252" t="s">
        <v>2013</v>
      </c>
      <c r="C41" s="253"/>
      <c r="G41" s="270" t="s">
        <v>2014</v>
      </c>
      <c r="K41" s="270">
        <v>2160</v>
      </c>
      <c r="L41" s="270" t="s">
        <v>1939</v>
      </c>
    </row>
    <row r="42" spans="1:12" ht="21.75" customHeight="1" x14ac:dyDescent="0.25">
      <c r="A42" s="251">
        <v>1</v>
      </c>
      <c r="B42" s="252" t="s">
        <v>2015</v>
      </c>
      <c r="C42" s="253"/>
      <c r="G42" s="270" t="s">
        <v>2016</v>
      </c>
      <c r="K42" s="270">
        <v>2832</v>
      </c>
      <c r="L42" s="270" t="s">
        <v>1939</v>
      </c>
    </row>
    <row r="43" spans="1:12" ht="21.75" customHeight="1" x14ac:dyDescent="0.25">
      <c r="A43" s="251">
        <v>1</v>
      </c>
      <c r="B43" s="252" t="s">
        <v>2017</v>
      </c>
      <c r="C43" s="253"/>
      <c r="G43" s="270" t="s">
        <v>2018</v>
      </c>
      <c r="K43" s="270">
        <v>4032</v>
      </c>
      <c r="L43" s="270" t="s">
        <v>1939</v>
      </c>
    </row>
    <row r="44" spans="1:12" ht="21.75" customHeight="1" x14ac:dyDescent="0.25">
      <c r="A44" s="251">
        <v>1</v>
      </c>
      <c r="B44" s="252" t="s">
        <v>2019</v>
      </c>
      <c r="C44" s="253"/>
      <c r="G44" s="270" t="s">
        <v>2020</v>
      </c>
      <c r="K44" s="270">
        <v>5940</v>
      </c>
      <c r="L44" s="270" t="s">
        <v>1939</v>
      </c>
    </row>
    <row r="45" spans="1:12" ht="21.75" customHeight="1" x14ac:dyDescent="0.25">
      <c r="A45" s="251">
        <v>1</v>
      </c>
      <c r="B45" s="252" t="s">
        <v>2021</v>
      </c>
      <c r="C45" s="253"/>
      <c r="G45" s="270" t="s">
        <v>2022</v>
      </c>
      <c r="K45" s="270">
        <v>1104</v>
      </c>
      <c r="L45" s="270" t="s">
        <v>1939</v>
      </c>
    </row>
    <row r="46" spans="1:12" ht="21.75" customHeight="1" x14ac:dyDescent="0.25">
      <c r="A46" s="251">
        <v>1</v>
      </c>
      <c r="B46" s="252" t="s">
        <v>2023</v>
      </c>
      <c r="C46" s="253"/>
      <c r="G46" s="270" t="s">
        <v>2024</v>
      </c>
      <c r="K46" s="270">
        <v>2220</v>
      </c>
      <c r="L46" s="270" t="s">
        <v>1939</v>
      </c>
    </row>
    <row r="47" spans="1:12" ht="21.75" customHeight="1" x14ac:dyDescent="0.25">
      <c r="A47" s="251">
        <v>1</v>
      </c>
      <c r="B47" s="252" t="s">
        <v>2025</v>
      </c>
      <c r="C47" s="253"/>
      <c r="G47" s="270" t="s">
        <v>2026</v>
      </c>
      <c r="K47" s="270">
        <v>3480</v>
      </c>
      <c r="L47" s="270" t="s">
        <v>1939</v>
      </c>
    </row>
    <row r="48" spans="1:12" ht="21.75" customHeight="1" x14ac:dyDescent="0.25">
      <c r="A48" s="251">
        <v>1</v>
      </c>
      <c r="B48" s="252" t="s">
        <v>2027</v>
      </c>
      <c r="C48" s="253"/>
      <c r="G48" s="270" t="s">
        <v>2028</v>
      </c>
      <c r="K48" s="270">
        <v>5520</v>
      </c>
      <c r="L48" s="270" t="s">
        <v>1939</v>
      </c>
    </row>
    <row r="49" spans="1:12" ht="21.75" customHeight="1" x14ac:dyDescent="0.25">
      <c r="A49" s="251">
        <v>1</v>
      </c>
      <c r="B49" s="252" t="s">
        <v>2029</v>
      </c>
      <c r="C49" s="253"/>
      <c r="G49" s="270" t="s">
        <v>2030</v>
      </c>
      <c r="K49" s="270">
        <v>0</v>
      </c>
      <c r="L49" s="270" t="s">
        <v>1939</v>
      </c>
    </row>
    <row r="50" spans="1:12" ht="21.75" customHeight="1" x14ac:dyDescent="0.25">
      <c r="A50" s="251">
        <v>1</v>
      </c>
      <c r="B50" s="252" t="s">
        <v>2031</v>
      </c>
      <c r="C50" s="253"/>
      <c r="G50" s="270" t="s">
        <v>2032</v>
      </c>
      <c r="K50" s="270">
        <v>984</v>
      </c>
      <c r="L50" s="270" t="s">
        <v>1939</v>
      </c>
    </row>
    <row r="51" spans="1:12" ht="21.75" customHeight="1" x14ac:dyDescent="0.25">
      <c r="A51" s="251">
        <v>1</v>
      </c>
      <c r="B51" s="252" t="s">
        <v>2033</v>
      </c>
      <c r="C51" s="253"/>
      <c r="G51" s="270" t="s">
        <v>2034</v>
      </c>
      <c r="K51" s="270">
        <v>1140</v>
      </c>
      <c r="L51" s="270" t="s">
        <v>1939</v>
      </c>
    </row>
    <row r="52" spans="1:12" ht="21.75" customHeight="1" x14ac:dyDescent="0.25">
      <c r="A52" s="251">
        <v>1</v>
      </c>
      <c r="B52" s="252" t="s">
        <v>2035</v>
      </c>
      <c r="C52" s="253"/>
      <c r="G52" s="270" t="s">
        <v>2036</v>
      </c>
      <c r="K52" s="270">
        <v>1200</v>
      </c>
      <c r="L52" s="270" t="s">
        <v>1939</v>
      </c>
    </row>
    <row r="53" spans="1:12" ht="21.75" customHeight="1" x14ac:dyDescent="0.25">
      <c r="A53" s="251">
        <v>1</v>
      </c>
      <c r="B53" s="252" t="s">
        <v>2037</v>
      </c>
      <c r="C53" s="253"/>
      <c r="G53" s="270" t="s">
        <v>2038</v>
      </c>
      <c r="K53" s="270">
        <v>10680</v>
      </c>
      <c r="L53" s="270" t="s">
        <v>1939</v>
      </c>
    </row>
    <row r="54" spans="1:12" ht="21.75" customHeight="1" x14ac:dyDescent="0.25">
      <c r="A54" s="251">
        <v>1</v>
      </c>
      <c r="B54" s="252" t="s">
        <v>2039</v>
      </c>
      <c r="C54" s="253"/>
      <c r="G54" s="270" t="s">
        <v>2040</v>
      </c>
      <c r="K54" s="270">
        <v>1920</v>
      </c>
      <c r="L54" s="270" t="s">
        <v>1939</v>
      </c>
    </row>
    <row r="55" spans="1:12" ht="21.75" customHeight="1" x14ac:dyDescent="0.25">
      <c r="A55" s="251">
        <v>1</v>
      </c>
      <c r="B55" s="252" t="s">
        <v>2041</v>
      </c>
      <c r="C55" s="253"/>
      <c r="G55" s="270" t="s">
        <v>2042</v>
      </c>
      <c r="K55" s="270">
        <v>3900</v>
      </c>
      <c r="L55" s="270" t="s">
        <v>1939</v>
      </c>
    </row>
    <row r="56" spans="1:12" ht="21.75" customHeight="1" x14ac:dyDescent="0.25">
      <c r="A56" s="251">
        <v>1</v>
      </c>
      <c r="B56" s="252" t="s">
        <v>2043</v>
      </c>
      <c r="C56" s="253"/>
      <c r="G56" s="270" t="s">
        <v>2044</v>
      </c>
      <c r="K56" s="270">
        <v>5340</v>
      </c>
      <c r="L56" s="270" t="s">
        <v>1939</v>
      </c>
    </row>
    <row r="57" spans="1:12" ht="21.75" customHeight="1" x14ac:dyDescent="0.25">
      <c r="A57" s="251">
        <v>1</v>
      </c>
      <c r="B57" s="252" t="s">
        <v>2045</v>
      </c>
      <c r="C57" s="256"/>
      <c r="G57" s="270" t="s">
        <v>2046</v>
      </c>
      <c r="K57" s="270">
        <v>10020</v>
      </c>
      <c r="L57" s="270" t="s">
        <v>1939</v>
      </c>
    </row>
    <row r="58" spans="1:12" ht="21.75" customHeight="1" x14ac:dyDescent="0.25">
      <c r="A58" s="251">
        <v>1</v>
      </c>
      <c r="B58" s="252" t="s">
        <v>2047</v>
      </c>
      <c r="C58" s="253"/>
      <c r="G58" s="270" t="s">
        <v>2048</v>
      </c>
      <c r="K58" s="270">
        <v>10680</v>
      </c>
      <c r="L58" s="270" t="s">
        <v>1939</v>
      </c>
    </row>
    <row r="59" spans="1:12" ht="21.75" customHeight="1" x14ac:dyDescent="0.25">
      <c r="A59" s="251">
        <v>1</v>
      </c>
      <c r="B59" s="252" t="s">
        <v>2049</v>
      </c>
      <c r="C59" s="253"/>
      <c r="G59" s="270" t="s">
        <v>2050</v>
      </c>
      <c r="K59" s="270">
        <v>12000</v>
      </c>
      <c r="L59" s="270" t="s">
        <v>1939</v>
      </c>
    </row>
    <row r="60" spans="1:12" ht="21.75" customHeight="1" x14ac:dyDescent="0.25">
      <c r="A60" s="251">
        <v>1</v>
      </c>
      <c r="B60" s="252" t="s">
        <v>2051</v>
      </c>
      <c r="C60" s="253"/>
      <c r="G60" s="270" t="s">
        <v>2052</v>
      </c>
      <c r="K60" s="270">
        <v>3000</v>
      </c>
      <c r="L60" s="270" t="s">
        <v>1939</v>
      </c>
    </row>
    <row r="61" spans="1:12" ht="21.75" customHeight="1" x14ac:dyDescent="0.25">
      <c r="A61" s="251">
        <v>1</v>
      </c>
      <c r="B61" s="252" t="s">
        <v>2053</v>
      </c>
      <c r="C61" s="253"/>
      <c r="G61" s="270" t="s">
        <v>2054</v>
      </c>
      <c r="K61" s="270">
        <v>3840</v>
      </c>
      <c r="L61" s="270" t="s">
        <v>1939</v>
      </c>
    </row>
    <row r="62" spans="1:12" ht="21.75" customHeight="1" x14ac:dyDescent="0.25">
      <c r="A62" s="251">
        <v>1</v>
      </c>
      <c r="B62" s="252" t="s">
        <v>2055</v>
      </c>
      <c r="C62" s="253"/>
      <c r="G62" s="270" t="s">
        <v>2056</v>
      </c>
      <c r="K62" s="270">
        <v>4560</v>
      </c>
      <c r="L62" s="270" t="s">
        <v>1939</v>
      </c>
    </row>
    <row r="63" spans="1:12" ht="21.75" customHeight="1" x14ac:dyDescent="0.25">
      <c r="A63" s="251">
        <v>1</v>
      </c>
      <c r="B63" s="252" t="s">
        <v>2057</v>
      </c>
      <c r="C63" s="253"/>
      <c r="G63" s="270" t="s">
        <v>2058</v>
      </c>
      <c r="K63" s="270">
        <v>10020</v>
      </c>
      <c r="L63" s="270" t="s">
        <v>1939</v>
      </c>
    </row>
    <row r="64" spans="1:12" ht="21.75" customHeight="1" x14ac:dyDescent="0.25">
      <c r="A64" s="251">
        <v>1</v>
      </c>
      <c r="B64" s="252" t="s">
        <v>2059</v>
      </c>
      <c r="C64" s="253"/>
      <c r="G64" s="270" t="s">
        <v>2060</v>
      </c>
      <c r="K64" s="270">
        <v>2160</v>
      </c>
      <c r="L64" s="270" t="s">
        <v>1939</v>
      </c>
    </row>
    <row r="65" spans="1:12" ht="21.75" customHeight="1" x14ac:dyDescent="0.25">
      <c r="A65" s="251">
        <v>1</v>
      </c>
      <c r="B65" s="252" t="s">
        <v>2061</v>
      </c>
      <c r="C65" s="253"/>
      <c r="G65" s="270" t="s">
        <v>2062</v>
      </c>
      <c r="K65" s="270">
        <v>3360</v>
      </c>
      <c r="L65" s="270" t="s">
        <v>1939</v>
      </c>
    </row>
    <row r="66" spans="1:12" ht="21.75" customHeight="1" x14ac:dyDescent="0.25">
      <c r="A66" s="251">
        <v>1</v>
      </c>
      <c r="B66" s="252" t="s">
        <v>2063</v>
      </c>
      <c r="C66" s="253"/>
      <c r="G66" s="270" t="s">
        <v>2064</v>
      </c>
      <c r="K66" s="270">
        <v>6720</v>
      </c>
      <c r="L66" s="270" t="s">
        <v>1939</v>
      </c>
    </row>
    <row r="67" spans="1:12" ht="21.75" customHeight="1" x14ac:dyDescent="0.25">
      <c r="A67" s="251">
        <v>1</v>
      </c>
      <c r="B67" s="252" t="s">
        <v>2065</v>
      </c>
      <c r="C67" s="253"/>
      <c r="G67" s="270" t="s">
        <v>2066</v>
      </c>
      <c r="K67" s="270">
        <v>2340</v>
      </c>
      <c r="L67" s="270" t="s">
        <v>1939</v>
      </c>
    </row>
    <row r="68" spans="1:12" ht="21.75" customHeight="1" x14ac:dyDescent="0.25">
      <c r="A68" s="251">
        <v>1</v>
      </c>
      <c r="B68" s="252" t="s">
        <v>2067</v>
      </c>
      <c r="C68" s="253"/>
      <c r="G68" s="270" t="s">
        <v>2068</v>
      </c>
      <c r="K68" s="270">
        <v>1860</v>
      </c>
      <c r="L68" s="270" t="s">
        <v>1939</v>
      </c>
    </row>
    <row r="69" spans="1:12" ht="21.75" customHeight="1" x14ac:dyDescent="0.25">
      <c r="A69" s="251">
        <v>1</v>
      </c>
      <c r="B69" s="252" t="s">
        <v>2069</v>
      </c>
      <c r="C69" s="253"/>
      <c r="G69" s="270" t="s">
        <v>2070</v>
      </c>
      <c r="K69" s="270">
        <v>2640</v>
      </c>
      <c r="L69" s="270" t="s">
        <v>1939</v>
      </c>
    </row>
    <row r="70" spans="1:12" ht="21.75" customHeight="1" x14ac:dyDescent="0.25">
      <c r="A70" s="251">
        <v>1</v>
      </c>
      <c r="B70" s="252" t="s">
        <v>1900</v>
      </c>
      <c r="C70" s="253"/>
      <c r="G70" s="270" t="s">
        <v>2071</v>
      </c>
      <c r="K70" s="270">
        <v>18456.2</v>
      </c>
      <c r="L70" s="270" t="s">
        <v>1939</v>
      </c>
    </row>
    <row r="71" spans="1:12" ht="21.75" customHeight="1" x14ac:dyDescent="0.25">
      <c r="A71" s="251">
        <v>1</v>
      </c>
      <c r="B71" s="252" t="s">
        <v>1899</v>
      </c>
      <c r="C71" s="253"/>
      <c r="G71" s="270" t="s">
        <v>1484</v>
      </c>
      <c r="K71" s="270">
        <v>3844.4</v>
      </c>
      <c r="L71" s="270" t="s">
        <v>1939</v>
      </c>
    </row>
    <row r="72" spans="1:12" ht="21.75" customHeight="1" x14ac:dyDescent="0.25">
      <c r="A72" s="251">
        <v>1</v>
      </c>
      <c r="B72" s="252" t="s">
        <v>1898</v>
      </c>
      <c r="C72" s="253"/>
      <c r="G72" s="270" t="s">
        <v>1469</v>
      </c>
      <c r="K72" s="270">
        <v>1481.2</v>
      </c>
      <c r="L72" s="270" t="s">
        <v>1939</v>
      </c>
    </row>
    <row r="73" spans="1:12" ht="21.75" customHeight="1" x14ac:dyDescent="0.25">
      <c r="A73" s="251">
        <v>1</v>
      </c>
      <c r="B73" s="252" t="s">
        <v>2072</v>
      </c>
      <c r="C73" s="253"/>
      <c r="G73" s="270" t="s">
        <v>2073</v>
      </c>
      <c r="K73" s="270">
        <v>45240</v>
      </c>
      <c r="L73" s="270" t="s">
        <v>1939</v>
      </c>
    </row>
    <row r="74" spans="1:12" ht="21.75" customHeight="1" x14ac:dyDescent="0.25">
      <c r="A74" s="251">
        <v>1</v>
      </c>
      <c r="B74" s="252" t="s">
        <v>2074</v>
      </c>
      <c r="C74" s="253"/>
      <c r="G74" s="270" t="s">
        <v>1212</v>
      </c>
      <c r="K74" s="270">
        <v>7699</v>
      </c>
      <c r="L74" s="270" t="s">
        <v>1939</v>
      </c>
    </row>
    <row r="75" spans="1:12" ht="21.75" customHeight="1" x14ac:dyDescent="0.25">
      <c r="A75" s="251">
        <v>1</v>
      </c>
      <c r="B75" s="252" t="s">
        <v>1897</v>
      </c>
      <c r="C75" s="253"/>
      <c r="G75" s="270" t="s">
        <v>1499</v>
      </c>
      <c r="K75" s="270">
        <v>4613</v>
      </c>
      <c r="L75" s="270" t="s">
        <v>1939</v>
      </c>
    </row>
    <row r="76" spans="1:12" ht="21.75" customHeight="1" x14ac:dyDescent="0.25">
      <c r="A76" s="251">
        <v>1</v>
      </c>
      <c r="B76" s="252" t="s">
        <v>1896</v>
      </c>
      <c r="C76" s="253"/>
      <c r="G76" s="270" t="s">
        <v>1504</v>
      </c>
      <c r="K76" s="270">
        <v>5367.6</v>
      </c>
      <c r="L76" s="270" t="s">
        <v>1939</v>
      </c>
    </row>
    <row r="77" spans="1:12" ht="21.75" customHeight="1" x14ac:dyDescent="0.25">
      <c r="A77" s="251">
        <v>1</v>
      </c>
      <c r="B77" s="252" t="s">
        <v>1895</v>
      </c>
      <c r="C77" s="253"/>
      <c r="G77" s="270" t="s">
        <v>2075</v>
      </c>
      <c r="K77" s="270">
        <v>22603</v>
      </c>
      <c r="L77" s="270" t="s">
        <v>1939</v>
      </c>
    </row>
    <row r="78" spans="1:12" ht="21.75" customHeight="1" x14ac:dyDescent="0.25">
      <c r="A78" s="251">
        <v>1</v>
      </c>
      <c r="B78" s="252" t="s">
        <v>2076</v>
      </c>
      <c r="C78" s="253"/>
      <c r="G78" s="270" t="s">
        <v>2077</v>
      </c>
      <c r="K78" s="270">
        <v>42300</v>
      </c>
      <c r="L78" s="270" t="s">
        <v>1939</v>
      </c>
    </row>
    <row r="79" spans="1:12" ht="21.75" customHeight="1" x14ac:dyDescent="0.25">
      <c r="A79" s="251">
        <v>1</v>
      </c>
      <c r="B79" s="252" t="s">
        <v>2078</v>
      </c>
      <c r="C79" s="253"/>
      <c r="G79" s="270" t="s">
        <v>2079</v>
      </c>
      <c r="K79" s="270">
        <v>44424</v>
      </c>
      <c r="L79" s="270" t="s">
        <v>1939</v>
      </c>
    </row>
    <row r="80" spans="1:12" ht="21.75" customHeight="1" x14ac:dyDescent="0.25">
      <c r="A80" s="251">
        <v>1</v>
      </c>
      <c r="B80" s="252" t="s">
        <v>2080</v>
      </c>
      <c r="C80" s="253"/>
      <c r="G80" s="270" t="s">
        <v>2081</v>
      </c>
      <c r="K80" s="270">
        <v>56268</v>
      </c>
      <c r="L80" s="270" t="s">
        <v>1939</v>
      </c>
    </row>
    <row r="81" spans="1:12" ht="21.75" customHeight="1" x14ac:dyDescent="0.25">
      <c r="A81" s="251">
        <v>1</v>
      </c>
      <c r="B81" s="252" t="s">
        <v>2082</v>
      </c>
      <c r="C81" s="253"/>
      <c r="G81" s="270" t="s">
        <v>2083</v>
      </c>
      <c r="K81" s="270">
        <v>50040</v>
      </c>
      <c r="L81" s="270" t="s">
        <v>1939</v>
      </c>
    </row>
    <row r="82" spans="1:12" ht="21.75" customHeight="1" x14ac:dyDescent="0.25">
      <c r="A82" s="251">
        <v>1</v>
      </c>
      <c r="B82" s="252" t="s">
        <v>2084</v>
      </c>
      <c r="C82" s="253"/>
      <c r="G82" s="270" t="s">
        <v>2085</v>
      </c>
      <c r="K82" s="270">
        <v>52548</v>
      </c>
      <c r="L82" s="270" t="s">
        <v>1939</v>
      </c>
    </row>
    <row r="83" spans="1:12" ht="21.75" customHeight="1" x14ac:dyDescent="0.25">
      <c r="A83" s="251">
        <v>1</v>
      </c>
      <c r="B83" s="252" t="s">
        <v>2086</v>
      </c>
      <c r="C83" s="253"/>
      <c r="G83" s="270" t="s">
        <v>2087</v>
      </c>
      <c r="K83" s="270">
        <v>66564</v>
      </c>
      <c r="L83" s="270" t="s">
        <v>1939</v>
      </c>
    </row>
    <row r="84" spans="1:12" ht="21.75" customHeight="1" x14ac:dyDescent="0.25">
      <c r="A84" s="251">
        <v>1</v>
      </c>
      <c r="B84" s="252" t="s">
        <v>2088</v>
      </c>
      <c r="C84" s="253"/>
      <c r="G84" s="270" t="s">
        <v>2089</v>
      </c>
      <c r="K84" s="270">
        <v>90660</v>
      </c>
      <c r="L84" s="270" t="s">
        <v>1939</v>
      </c>
    </row>
    <row r="85" spans="1:12" ht="21.75" customHeight="1" x14ac:dyDescent="0.25">
      <c r="A85" s="251">
        <v>1</v>
      </c>
      <c r="B85" s="252" t="s">
        <v>2090</v>
      </c>
      <c r="C85" s="253"/>
      <c r="G85" s="270" t="s">
        <v>2091</v>
      </c>
      <c r="K85" s="270">
        <v>95196</v>
      </c>
      <c r="L85" s="270" t="s">
        <v>1939</v>
      </c>
    </row>
    <row r="86" spans="1:12" ht="21.75" customHeight="1" x14ac:dyDescent="0.25">
      <c r="A86" s="251">
        <v>1</v>
      </c>
      <c r="B86" s="252" t="s">
        <v>2092</v>
      </c>
      <c r="C86" s="253"/>
      <c r="G86" s="270" t="s">
        <v>2093</v>
      </c>
      <c r="K86" s="270">
        <v>120588</v>
      </c>
      <c r="L86" s="270" t="s">
        <v>1939</v>
      </c>
    </row>
    <row r="87" spans="1:12" ht="21.75" customHeight="1" x14ac:dyDescent="0.25">
      <c r="A87" s="251">
        <v>1</v>
      </c>
      <c r="B87" s="252" t="s">
        <v>2094</v>
      </c>
      <c r="C87" s="253"/>
      <c r="G87" s="270" t="s">
        <v>2095</v>
      </c>
      <c r="K87" s="270">
        <v>194880</v>
      </c>
      <c r="L87" s="270" t="s">
        <v>1939</v>
      </c>
    </row>
    <row r="88" spans="1:12" ht="21.75" customHeight="1" x14ac:dyDescent="0.25">
      <c r="A88" s="251">
        <v>1</v>
      </c>
      <c r="B88" s="252" t="s">
        <v>2096</v>
      </c>
      <c r="C88" s="253"/>
      <c r="G88" s="270" t="s">
        <v>2097</v>
      </c>
      <c r="K88" s="270">
        <v>204624</v>
      </c>
      <c r="L88" s="270" t="s">
        <v>1939</v>
      </c>
    </row>
    <row r="89" spans="1:12" ht="21.75" customHeight="1" x14ac:dyDescent="0.25">
      <c r="A89" s="251">
        <v>1</v>
      </c>
      <c r="B89" s="252" t="s">
        <v>2098</v>
      </c>
      <c r="C89" s="253"/>
      <c r="G89" s="270" t="s">
        <v>2099</v>
      </c>
      <c r="K89" s="270">
        <v>259200</v>
      </c>
      <c r="L89" s="270" t="s">
        <v>1939</v>
      </c>
    </row>
    <row r="90" spans="1:12" ht="21.75" customHeight="1" x14ac:dyDescent="0.25">
      <c r="A90" s="251">
        <v>1</v>
      </c>
      <c r="B90" s="252" t="s">
        <v>2100</v>
      </c>
      <c r="C90" s="253"/>
      <c r="G90" s="270" t="s">
        <v>2101</v>
      </c>
      <c r="K90" s="270">
        <v>251940</v>
      </c>
      <c r="L90" s="270" t="s">
        <v>1939</v>
      </c>
    </row>
    <row r="91" spans="1:12" ht="21.75" customHeight="1" x14ac:dyDescent="0.25">
      <c r="A91" s="251">
        <v>1</v>
      </c>
      <c r="B91" s="252" t="s">
        <v>2102</v>
      </c>
      <c r="C91" s="253"/>
      <c r="G91" s="270" t="s">
        <v>2103</v>
      </c>
      <c r="K91" s="270">
        <v>264540</v>
      </c>
      <c r="L91" s="270" t="s">
        <v>1939</v>
      </c>
    </row>
    <row r="92" spans="1:12" ht="21.75" customHeight="1" x14ac:dyDescent="0.25">
      <c r="A92" s="251">
        <v>1</v>
      </c>
      <c r="B92" s="252" t="s">
        <v>2104</v>
      </c>
      <c r="C92" s="253"/>
      <c r="G92" s="270" t="s">
        <v>2105</v>
      </c>
      <c r="K92" s="270">
        <v>335088</v>
      </c>
      <c r="L92" s="270" t="s">
        <v>1939</v>
      </c>
    </row>
    <row r="93" spans="1:12" ht="21.75" customHeight="1" x14ac:dyDescent="0.25">
      <c r="A93" s="251">
        <v>1</v>
      </c>
      <c r="B93" s="252" t="s">
        <v>2106</v>
      </c>
      <c r="C93" s="253"/>
      <c r="G93" s="270" t="s">
        <v>2107</v>
      </c>
      <c r="K93" s="270">
        <v>362100</v>
      </c>
      <c r="L93" s="270" t="s">
        <v>1939</v>
      </c>
    </row>
    <row r="94" spans="1:12" ht="21.75" customHeight="1" x14ac:dyDescent="0.25">
      <c r="A94" s="251">
        <v>1</v>
      </c>
      <c r="B94" s="252" t="s">
        <v>2108</v>
      </c>
      <c r="C94" s="253"/>
      <c r="G94" s="270" t="s">
        <v>2109</v>
      </c>
      <c r="K94" s="270">
        <v>380208</v>
      </c>
      <c r="L94" s="270" t="s">
        <v>1939</v>
      </c>
    </row>
    <row r="95" spans="1:12" ht="21.75" customHeight="1" x14ac:dyDescent="0.25">
      <c r="A95" s="251">
        <v>1</v>
      </c>
      <c r="B95" s="252" t="s">
        <v>2110</v>
      </c>
      <c r="C95" s="253"/>
      <c r="G95" s="270" t="s">
        <v>2111</v>
      </c>
      <c r="K95" s="270">
        <v>481596</v>
      </c>
      <c r="L95" s="270" t="s">
        <v>1939</v>
      </c>
    </row>
    <row r="96" spans="1:12" ht="21.75" customHeight="1" x14ac:dyDescent="0.25">
      <c r="A96" s="251">
        <v>1</v>
      </c>
      <c r="B96" s="252" t="s">
        <v>2112</v>
      </c>
      <c r="C96" s="253"/>
      <c r="G96" s="270" t="s">
        <v>2113</v>
      </c>
      <c r="K96" s="270">
        <v>42360</v>
      </c>
      <c r="L96" s="270" t="s">
        <v>1939</v>
      </c>
    </row>
    <row r="97" spans="1:12" ht="21.75" customHeight="1" x14ac:dyDescent="0.25">
      <c r="A97" s="251">
        <v>1</v>
      </c>
      <c r="B97" s="252" t="s">
        <v>2114</v>
      </c>
      <c r="C97" s="253"/>
      <c r="G97" s="270" t="s">
        <v>2115</v>
      </c>
      <c r="K97" s="270">
        <v>44484</v>
      </c>
      <c r="L97" s="270" t="s">
        <v>1939</v>
      </c>
    </row>
    <row r="98" spans="1:12" ht="21.75" customHeight="1" x14ac:dyDescent="0.25">
      <c r="A98" s="251">
        <v>1</v>
      </c>
      <c r="B98" s="252" t="s">
        <v>2116</v>
      </c>
      <c r="C98" s="253"/>
      <c r="G98" s="270" t="s">
        <v>2117</v>
      </c>
      <c r="K98" s="270">
        <v>56340</v>
      </c>
      <c r="L98" s="270" t="s">
        <v>1939</v>
      </c>
    </row>
    <row r="99" spans="1:12" ht="21.75" customHeight="1" x14ac:dyDescent="0.25">
      <c r="A99" s="251">
        <v>1</v>
      </c>
      <c r="B99" s="252" t="s">
        <v>2118</v>
      </c>
      <c r="C99" s="253"/>
      <c r="G99" s="270" t="s">
        <v>2119</v>
      </c>
      <c r="K99" s="270">
        <v>51720</v>
      </c>
      <c r="L99" s="270" t="s">
        <v>1939</v>
      </c>
    </row>
    <row r="100" spans="1:12" ht="21.75" customHeight="1" x14ac:dyDescent="0.25">
      <c r="A100" s="251">
        <v>1</v>
      </c>
      <c r="B100" s="252" t="s">
        <v>2120</v>
      </c>
      <c r="C100" s="253"/>
      <c r="G100" s="270" t="s">
        <v>2121</v>
      </c>
      <c r="K100" s="270">
        <v>54312</v>
      </c>
      <c r="L100" s="270" t="s">
        <v>1939</v>
      </c>
    </row>
    <row r="101" spans="1:12" ht="21.75" customHeight="1" x14ac:dyDescent="0.25">
      <c r="A101" s="251">
        <v>1</v>
      </c>
      <c r="B101" s="252" t="s">
        <v>2122</v>
      </c>
      <c r="C101" s="253"/>
      <c r="G101" s="270" t="s">
        <v>2123</v>
      </c>
      <c r="K101" s="270">
        <v>68796</v>
      </c>
      <c r="L101" s="270" t="s">
        <v>1939</v>
      </c>
    </row>
    <row r="102" spans="1:12" ht="21.75" customHeight="1" x14ac:dyDescent="0.25">
      <c r="A102" s="251">
        <v>1</v>
      </c>
      <c r="B102" s="252" t="s">
        <v>2124</v>
      </c>
      <c r="C102" s="253"/>
      <c r="G102" s="270" t="s">
        <v>2125</v>
      </c>
      <c r="K102" s="270">
        <v>8736</v>
      </c>
      <c r="L102" s="270" t="s">
        <v>1939</v>
      </c>
    </row>
    <row r="103" spans="1:12" ht="21.75" customHeight="1" x14ac:dyDescent="0.25">
      <c r="A103" s="251">
        <v>1</v>
      </c>
      <c r="B103" s="252" t="s">
        <v>2126</v>
      </c>
      <c r="C103" s="253"/>
      <c r="G103" s="270" t="s">
        <v>1244</v>
      </c>
      <c r="K103" s="270">
        <v>6142</v>
      </c>
      <c r="L103" s="270" t="s">
        <v>1939</v>
      </c>
    </row>
    <row r="104" spans="1:12" ht="21.75" customHeight="1" x14ac:dyDescent="0.25">
      <c r="A104" s="251">
        <v>1</v>
      </c>
      <c r="B104" s="19" t="s">
        <v>2127</v>
      </c>
      <c r="C104" s="253"/>
      <c r="G104" s="270" t="s">
        <v>2128</v>
      </c>
      <c r="K104" s="19">
        <v>51600</v>
      </c>
      <c r="L104" s="270" t="s">
        <v>1939</v>
      </c>
    </row>
    <row r="105" spans="1:12" ht="21.75" customHeight="1" x14ac:dyDescent="0.25">
      <c r="A105" s="251">
        <v>1</v>
      </c>
      <c r="B105" s="19" t="s">
        <v>2129</v>
      </c>
      <c r="C105" s="253"/>
      <c r="G105" s="270" t="s">
        <v>1121</v>
      </c>
      <c r="K105" s="19">
        <v>2204</v>
      </c>
      <c r="L105" s="270" t="s">
        <v>1939</v>
      </c>
    </row>
    <row r="106" spans="1:12" ht="21.75" customHeight="1" x14ac:dyDescent="0.25">
      <c r="A106" s="251">
        <v>1</v>
      </c>
      <c r="B106" s="19" t="s">
        <v>2130</v>
      </c>
      <c r="C106" s="253"/>
      <c r="G106" s="270" t="s">
        <v>1120</v>
      </c>
      <c r="K106" s="19">
        <v>3211</v>
      </c>
      <c r="L106" s="270" t="s">
        <v>1939</v>
      </c>
    </row>
    <row r="107" spans="1:12" ht="21.75" customHeight="1" x14ac:dyDescent="0.25">
      <c r="A107" s="251">
        <v>1</v>
      </c>
      <c r="B107" s="19" t="s">
        <v>2131</v>
      </c>
      <c r="C107" s="253"/>
      <c r="G107" s="270" t="s">
        <v>1231</v>
      </c>
      <c r="K107" s="19">
        <v>14736</v>
      </c>
      <c r="L107" s="270" t="s">
        <v>1939</v>
      </c>
    </row>
    <row r="108" spans="1:12" ht="21.75" customHeight="1" x14ac:dyDescent="0.25">
      <c r="A108" s="251">
        <v>1</v>
      </c>
      <c r="B108" s="19" t="s">
        <v>2132</v>
      </c>
      <c r="C108" s="253"/>
      <c r="G108" s="270" t="s">
        <v>1232</v>
      </c>
      <c r="K108" s="19">
        <v>16071</v>
      </c>
      <c r="L108" s="270" t="s">
        <v>1939</v>
      </c>
    </row>
    <row r="109" spans="1:12" ht="21.75" customHeight="1" x14ac:dyDescent="0.25">
      <c r="A109" s="251">
        <v>1</v>
      </c>
      <c r="B109" s="19" t="s">
        <v>2133</v>
      </c>
      <c r="C109" s="253"/>
      <c r="G109" s="270" t="s">
        <v>1233</v>
      </c>
      <c r="K109" s="19">
        <v>14355</v>
      </c>
      <c r="L109" s="270" t="s">
        <v>1939</v>
      </c>
    </row>
    <row r="110" spans="1:12" ht="21.75" customHeight="1" x14ac:dyDescent="0.25">
      <c r="A110" s="251">
        <v>1</v>
      </c>
      <c r="B110" s="19" t="s">
        <v>2134</v>
      </c>
      <c r="C110" s="253"/>
      <c r="G110" s="270" t="s">
        <v>1234</v>
      </c>
      <c r="K110" s="19">
        <v>15142</v>
      </c>
      <c r="L110" s="270" t="s">
        <v>1939</v>
      </c>
    </row>
    <row r="111" spans="1:12" ht="21.75" customHeight="1" x14ac:dyDescent="0.25">
      <c r="A111" s="251">
        <v>1</v>
      </c>
      <c r="B111" s="19" t="s">
        <v>2135</v>
      </c>
      <c r="C111" s="253"/>
      <c r="G111" s="270" t="s">
        <v>1302</v>
      </c>
      <c r="K111" s="19">
        <v>25443</v>
      </c>
      <c r="L111" s="270" t="s">
        <v>1939</v>
      </c>
    </row>
    <row r="112" spans="1:12" ht="21.75" customHeight="1" x14ac:dyDescent="0.25">
      <c r="A112" s="251">
        <v>1</v>
      </c>
      <c r="B112" s="19" t="s">
        <v>2136</v>
      </c>
      <c r="C112" s="253"/>
      <c r="G112" s="270" t="s">
        <v>1303</v>
      </c>
      <c r="K112" s="19">
        <v>26290</v>
      </c>
      <c r="L112" s="270" t="s">
        <v>1939</v>
      </c>
    </row>
    <row r="113" spans="1:12" ht="21.75" customHeight="1" x14ac:dyDescent="0.25">
      <c r="A113" s="251">
        <v>1</v>
      </c>
      <c r="B113" s="19" t="s">
        <v>2137</v>
      </c>
      <c r="C113" s="253"/>
      <c r="G113" s="270" t="s">
        <v>1119</v>
      </c>
      <c r="K113" s="19">
        <v>2925</v>
      </c>
      <c r="L113" s="270" t="s">
        <v>1939</v>
      </c>
    </row>
    <row r="114" spans="1:12" ht="21.75" customHeight="1" x14ac:dyDescent="0.25">
      <c r="A114" s="251">
        <v>1</v>
      </c>
      <c r="B114" s="19" t="s">
        <v>2138</v>
      </c>
      <c r="C114" s="253"/>
      <c r="G114" s="270" t="s">
        <v>1337</v>
      </c>
      <c r="K114" s="19">
        <v>153806</v>
      </c>
      <c r="L114" s="270" t="s">
        <v>1939</v>
      </c>
    </row>
    <row r="115" spans="1:12" ht="21.75" customHeight="1" x14ac:dyDescent="0.25">
      <c r="A115" s="251">
        <v>1</v>
      </c>
      <c r="B115" s="19" t="s">
        <v>2139</v>
      </c>
      <c r="C115" s="253"/>
      <c r="G115" s="270" t="s">
        <v>1332</v>
      </c>
      <c r="K115" s="19">
        <v>81586</v>
      </c>
      <c r="L115" s="270" t="s">
        <v>1939</v>
      </c>
    </row>
    <row r="116" spans="1:12" ht="21.75" customHeight="1" x14ac:dyDescent="0.25">
      <c r="A116" s="251">
        <v>1</v>
      </c>
      <c r="B116" s="19" t="s">
        <v>2140</v>
      </c>
      <c r="C116" s="253"/>
      <c r="G116" s="270" t="s">
        <v>1334</v>
      </c>
      <c r="K116" s="19">
        <v>134349</v>
      </c>
      <c r="L116" s="270" t="s">
        <v>1939</v>
      </c>
    </row>
    <row r="117" spans="1:12" ht="21.75" customHeight="1" x14ac:dyDescent="0.25">
      <c r="A117" s="251">
        <v>1</v>
      </c>
      <c r="B117" s="19" t="s">
        <v>2141</v>
      </c>
      <c r="C117" s="253"/>
      <c r="G117" s="270" t="s">
        <v>1335</v>
      </c>
      <c r="K117" s="19">
        <v>139960</v>
      </c>
      <c r="L117" s="270" t="s">
        <v>1939</v>
      </c>
    </row>
    <row r="118" spans="1:12" ht="21.75" customHeight="1" x14ac:dyDescent="0.25">
      <c r="A118" s="251">
        <v>1</v>
      </c>
      <c r="B118" s="19" t="s">
        <v>2142</v>
      </c>
      <c r="C118" s="253"/>
      <c r="G118" s="270" t="s">
        <v>1336</v>
      </c>
      <c r="K118" s="19">
        <v>148565</v>
      </c>
      <c r="L118" s="270" t="s">
        <v>1939</v>
      </c>
    </row>
    <row r="119" spans="1:12" ht="21.75" customHeight="1" x14ac:dyDescent="0.25">
      <c r="A119" s="251">
        <v>1</v>
      </c>
      <c r="B119" s="19" t="s">
        <v>2143</v>
      </c>
      <c r="C119" s="253"/>
      <c r="G119" s="270" t="s">
        <v>1346</v>
      </c>
      <c r="K119" s="19">
        <v>277400</v>
      </c>
      <c r="L119" s="270" t="s">
        <v>1939</v>
      </c>
    </row>
    <row r="120" spans="1:12" ht="21.75" customHeight="1" x14ac:dyDescent="0.25">
      <c r="A120" s="251">
        <v>1</v>
      </c>
      <c r="B120" s="19" t="s">
        <v>2144</v>
      </c>
      <c r="C120" s="253"/>
      <c r="G120" s="270" t="s">
        <v>1347</v>
      </c>
      <c r="K120" s="19">
        <v>282113</v>
      </c>
      <c r="L120" s="270" t="s">
        <v>1939</v>
      </c>
    </row>
    <row r="121" spans="1:12" ht="21.75" customHeight="1" x14ac:dyDescent="0.25">
      <c r="A121" s="251">
        <v>1</v>
      </c>
      <c r="B121" s="1" t="s">
        <v>2145</v>
      </c>
      <c r="C121" s="253"/>
      <c r="G121" s="270" t="s">
        <v>1338</v>
      </c>
      <c r="K121" s="1">
        <v>67885</v>
      </c>
      <c r="L121" s="270" t="s">
        <v>1939</v>
      </c>
    </row>
    <row r="122" spans="1:12" ht="21.75" customHeight="1" x14ac:dyDescent="0.25">
      <c r="A122" s="251">
        <v>1</v>
      </c>
      <c r="B122" s="1" t="s">
        <v>2146</v>
      </c>
      <c r="C122" s="253"/>
      <c r="G122" s="270" t="s">
        <v>1342</v>
      </c>
      <c r="K122" s="1">
        <v>111782</v>
      </c>
      <c r="L122" s="270" t="s">
        <v>1939</v>
      </c>
    </row>
    <row r="123" spans="1:12" ht="21.75" customHeight="1" x14ac:dyDescent="0.25">
      <c r="A123" s="251">
        <v>1</v>
      </c>
      <c r="B123" s="1" t="s">
        <v>2147</v>
      </c>
      <c r="C123" s="253"/>
      <c r="G123" s="270" t="s">
        <v>1344</v>
      </c>
      <c r="K123" s="1">
        <v>128659</v>
      </c>
      <c r="L123" s="270" t="s">
        <v>1939</v>
      </c>
    </row>
    <row r="124" spans="1:12" ht="21.75" customHeight="1" x14ac:dyDescent="0.25">
      <c r="A124" s="251">
        <v>1</v>
      </c>
      <c r="B124" s="19" t="s">
        <v>2148</v>
      </c>
      <c r="C124" s="253"/>
      <c r="G124" s="270" t="s">
        <v>1124</v>
      </c>
      <c r="K124" s="19">
        <v>894</v>
      </c>
      <c r="L124" s="270" t="s">
        <v>1939</v>
      </c>
    </row>
    <row r="125" spans="1:12" ht="21.75" customHeight="1" x14ac:dyDescent="0.25">
      <c r="A125" s="251">
        <v>1</v>
      </c>
      <c r="B125" s="19" t="s">
        <v>2149</v>
      </c>
      <c r="C125" s="253"/>
      <c r="G125" s="270" t="s">
        <v>1139</v>
      </c>
      <c r="K125" s="19">
        <v>1661</v>
      </c>
      <c r="L125" s="270" t="s">
        <v>1939</v>
      </c>
    </row>
    <row r="126" spans="1:12" ht="21.75" customHeight="1" x14ac:dyDescent="0.25">
      <c r="A126" s="251">
        <v>1</v>
      </c>
      <c r="B126" s="19" t="s">
        <v>2150</v>
      </c>
      <c r="C126" s="253"/>
      <c r="G126" s="270" t="s">
        <v>1140</v>
      </c>
      <c r="K126" s="19">
        <v>2245</v>
      </c>
      <c r="L126" s="270" t="s">
        <v>1939</v>
      </c>
    </row>
    <row r="127" spans="1:12" ht="21.75" customHeight="1" x14ac:dyDescent="0.25">
      <c r="A127" s="251">
        <v>1</v>
      </c>
      <c r="B127" s="19" t="s">
        <v>2151</v>
      </c>
      <c r="C127" s="253"/>
      <c r="G127" s="270" t="s">
        <v>1142</v>
      </c>
      <c r="K127" s="19">
        <v>9373</v>
      </c>
      <c r="L127" s="270" t="s">
        <v>1939</v>
      </c>
    </row>
    <row r="128" spans="1:12" ht="21.75" customHeight="1" x14ac:dyDescent="0.25">
      <c r="A128" s="251">
        <v>1</v>
      </c>
      <c r="B128" s="19" t="s">
        <v>2152</v>
      </c>
      <c r="C128" s="253"/>
      <c r="G128" s="270" t="s">
        <v>1245</v>
      </c>
      <c r="K128" s="19">
        <v>6995</v>
      </c>
      <c r="L128" s="270" t="s">
        <v>1939</v>
      </c>
    </row>
    <row r="129" spans="1:12" ht="21.75" customHeight="1" x14ac:dyDescent="0.25">
      <c r="A129" s="251">
        <v>1</v>
      </c>
      <c r="B129" s="19" t="s">
        <v>2153</v>
      </c>
      <c r="C129" s="253"/>
      <c r="G129" s="270" t="s">
        <v>1249</v>
      </c>
      <c r="K129" s="19">
        <v>12285</v>
      </c>
      <c r="L129" s="270" t="s">
        <v>1939</v>
      </c>
    </row>
    <row r="130" spans="1:12" ht="21.75" customHeight="1" x14ac:dyDescent="0.25">
      <c r="A130" s="251">
        <v>1</v>
      </c>
      <c r="B130" s="19" t="s">
        <v>2154</v>
      </c>
      <c r="C130" s="253"/>
      <c r="G130" s="270" t="s">
        <v>1250</v>
      </c>
      <c r="K130" s="19">
        <v>13285</v>
      </c>
      <c r="L130" s="270" t="s">
        <v>1939</v>
      </c>
    </row>
    <row r="131" spans="1:12" ht="21.75" customHeight="1" x14ac:dyDescent="0.25">
      <c r="A131" s="251">
        <v>1</v>
      </c>
      <c r="B131" s="19" t="s">
        <v>2155</v>
      </c>
      <c r="C131" s="253"/>
      <c r="G131" s="270" t="s">
        <v>1251</v>
      </c>
      <c r="K131" s="19">
        <v>25596</v>
      </c>
      <c r="L131" s="270" t="s">
        <v>1939</v>
      </c>
    </row>
    <row r="132" spans="1:12" ht="21.75" customHeight="1" x14ac:dyDescent="0.25">
      <c r="A132" s="251">
        <v>1</v>
      </c>
      <c r="B132" s="252" t="s">
        <v>2156</v>
      </c>
      <c r="C132" s="253"/>
      <c r="G132" s="270" t="s">
        <v>1242</v>
      </c>
      <c r="K132" s="270">
        <v>6618</v>
      </c>
      <c r="L132" s="270" t="s">
        <v>1939</v>
      </c>
    </row>
    <row r="133" spans="1:12" ht="21.75" customHeight="1" x14ac:dyDescent="0.25">
      <c r="A133" s="251">
        <v>1</v>
      </c>
      <c r="B133" s="252" t="s">
        <v>2157</v>
      </c>
      <c r="C133" s="253"/>
      <c r="G133" s="270" t="s">
        <v>1243</v>
      </c>
      <c r="K133" s="270">
        <v>7473</v>
      </c>
      <c r="L133" s="270" t="s">
        <v>1939</v>
      </c>
    </row>
    <row r="134" spans="1:12" ht="21.75" customHeight="1" x14ac:dyDescent="0.25">
      <c r="A134" s="251">
        <v>1</v>
      </c>
      <c r="B134" s="252" t="s">
        <v>2158</v>
      </c>
      <c r="C134" s="253"/>
      <c r="G134" s="270" t="s">
        <v>1246</v>
      </c>
      <c r="K134" s="270">
        <v>12540</v>
      </c>
      <c r="L134" s="270" t="s">
        <v>1939</v>
      </c>
    </row>
    <row r="135" spans="1:12" ht="21.75" customHeight="1" x14ac:dyDescent="0.25">
      <c r="A135" s="251">
        <v>1</v>
      </c>
      <c r="B135" s="252" t="s">
        <v>2159</v>
      </c>
      <c r="C135" s="253"/>
      <c r="G135" s="270" t="s">
        <v>1247</v>
      </c>
      <c r="K135" s="270">
        <v>13542</v>
      </c>
      <c r="L135" s="270" t="s">
        <v>1939</v>
      </c>
    </row>
    <row r="136" spans="1:12" ht="21.75" customHeight="1" x14ac:dyDescent="0.25">
      <c r="A136" s="251">
        <v>1</v>
      </c>
      <c r="B136" s="252" t="s">
        <v>2160</v>
      </c>
      <c r="C136" s="253"/>
      <c r="G136" s="270" t="s">
        <v>1241</v>
      </c>
      <c r="K136" s="270">
        <v>6142</v>
      </c>
      <c r="L136" s="270" t="s">
        <v>1939</v>
      </c>
    </row>
    <row r="137" spans="1:12" ht="21.75" customHeight="1" x14ac:dyDescent="0.25">
      <c r="A137" s="251">
        <v>1</v>
      </c>
      <c r="B137" s="252" t="s">
        <v>2161</v>
      </c>
      <c r="C137" s="253"/>
      <c r="G137" s="270" t="s">
        <v>1237</v>
      </c>
      <c r="K137" s="270">
        <v>6464</v>
      </c>
      <c r="L137" s="270" t="s">
        <v>1939</v>
      </c>
    </row>
    <row r="138" spans="1:12" ht="21.75" customHeight="1" x14ac:dyDescent="0.25">
      <c r="A138" s="251">
        <v>1</v>
      </c>
      <c r="B138" s="252" t="s">
        <v>2162</v>
      </c>
      <c r="C138" s="253"/>
      <c r="G138" s="270" t="s">
        <v>1305</v>
      </c>
      <c r="K138" s="270">
        <v>21000</v>
      </c>
      <c r="L138" s="270" t="s">
        <v>1939</v>
      </c>
    </row>
    <row r="139" spans="1:12" ht="21.75" customHeight="1" x14ac:dyDescent="0.25">
      <c r="A139" s="251">
        <v>1</v>
      </c>
      <c r="B139" s="252" t="s">
        <v>2163</v>
      </c>
      <c r="C139" s="253"/>
      <c r="G139" s="270" t="s">
        <v>2164</v>
      </c>
      <c r="K139" s="270">
        <v>0</v>
      </c>
      <c r="L139" s="270" t="s">
        <v>1939</v>
      </c>
    </row>
    <row r="140" spans="1:12" ht="21.75" customHeight="1" x14ac:dyDescent="0.25">
      <c r="A140" s="251">
        <v>1</v>
      </c>
      <c r="B140" s="252" t="s">
        <v>2165</v>
      </c>
      <c r="C140" s="253"/>
      <c r="G140" s="270" t="s">
        <v>1308</v>
      </c>
      <c r="K140" s="270">
        <v>14215</v>
      </c>
      <c r="L140" s="270" t="s">
        <v>1939</v>
      </c>
    </row>
    <row r="141" spans="1:12" ht="21.75" customHeight="1" x14ac:dyDescent="0.25">
      <c r="A141" s="251">
        <v>1</v>
      </c>
      <c r="B141" s="252" t="s">
        <v>2166</v>
      </c>
      <c r="C141" s="253"/>
      <c r="G141" s="270" t="s">
        <v>1306</v>
      </c>
      <c r="K141" s="270">
        <v>22978</v>
      </c>
      <c r="L141" s="270" t="s">
        <v>1939</v>
      </c>
    </row>
    <row r="142" spans="1:12" ht="21.75" customHeight="1" x14ac:dyDescent="0.25">
      <c r="A142" s="251">
        <v>1</v>
      </c>
      <c r="B142" s="252" t="s">
        <v>2167</v>
      </c>
      <c r="C142" s="253"/>
      <c r="G142" s="270" t="s">
        <v>3268</v>
      </c>
      <c r="K142" s="270">
        <v>22910</v>
      </c>
      <c r="L142" s="270" t="s">
        <v>1939</v>
      </c>
    </row>
    <row r="143" spans="1:12" ht="21.75" customHeight="1" x14ac:dyDescent="0.25">
      <c r="A143" s="251">
        <v>1</v>
      </c>
      <c r="B143" s="252" t="s">
        <v>2168</v>
      </c>
      <c r="C143" s="253"/>
      <c r="G143" s="270" t="s">
        <v>3269</v>
      </c>
      <c r="K143" s="270">
        <v>20829</v>
      </c>
      <c r="L143" s="270" t="s">
        <v>1939</v>
      </c>
    </row>
    <row r="144" spans="1:12" ht="21.75" customHeight="1" x14ac:dyDescent="0.25">
      <c r="A144" s="251">
        <v>1</v>
      </c>
      <c r="B144" s="252" t="s">
        <v>2169</v>
      </c>
      <c r="C144" s="253"/>
      <c r="G144" s="270" t="s">
        <v>1446</v>
      </c>
      <c r="K144" s="270">
        <v>14211</v>
      </c>
      <c r="L144" s="270" t="s">
        <v>1939</v>
      </c>
    </row>
    <row r="145" spans="1:12" ht="21.75" customHeight="1" x14ac:dyDescent="0.25">
      <c r="A145" s="251">
        <v>1</v>
      </c>
      <c r="B145" s="252" t="s">
        <v>2170</v>
      </c>
      <c r="C145" s="253"/>
      <c r="G145" s="270" t="s">
        <v>1447</v>
      </c>
      <c r="K145" s="270">
        <v>15562</v>
      </c>
      <c r="L145" s="270" t="s">
        <v>1939</v>
      </c>
    </row>
    <row r="146" spans="1:12" ht="21.75" customHeight="1" x14ac:dyDescent="0.25">
      <c r="A146" s="251">
        <v>1</v>
      </c>
      <c r="B146" s="252" t="s">
        <v>2171</v>
      </c>
      <c r="C146" s="253"/>
      <c r="G146" s="270" t="s">
        <v>3270</v>
      </c>
      <c r="K146" s="270">
        <v>62797</v>
      </c>
      <c r="L146" s="270" t="s">
        <v>1939</v>
      </c>
    </row>
    <row r="147" spans="1:12" ht="21.75" customHeight="1" x14ac:dyDescent="0.25">
      <c r="A147" s="251">
        <v>1</v>
      </c>
      <c r="B147" s="252" t="s">
        <v>2172</v>
      </c>
      <c r="C147" s="253"/>
      <c r="G147" s="270" t="s">
        <v>3271</v>
      </c>
      <c r="K147" s="270">
        <v>69044</v>
      </c>
      <c r="L147" s="270" t="s">
        <v>1939</v>
      </c>
    </row>
    <row r="148" spans="1:12" ht="21.75" customHeight="1" x14ac:dyDescent="0.25">
      <c r="A148" s="251">
        <v>1</v>
      </c>
      <c r="B148" s="252" t="s">
        <v>2173</v>
      </c>
      <c r="C148" s="253"/>
      <c r="G148" s="270" t="s">
        <v>3272</v>
      </c>
      <c r="K148" s="270">
        <v>29690</v>
      </c>
      <c r="L148" s="270" t="s">
        <v>1939</v>
      </c>
    </row>
    <row r="149" spans="1:12" ht="21.75" customHeight="1" x14ac:dyDescent="0.25">
      <c r="A149" s="251">
        <v>1</v>
      </c>
      <c r="B149" s="252" t="s">
        <v>2174</v>
      </c>
      <c r="C149" s="253"/>
      <c r="G149" s="270" t="s">
        <v>3273</v>
      </c>
      <c r="K149" s="270">
        <v>26991</v>
      </c>
      <c r="L149" s="270" t="s">
        <v>1939</v>
      </c>
    </row>
    <row r="150" spans="1:12" ht="21.75" customHeight="1" x14ac:dyDescent="0.25">
      <c r="A150" s="251">
        <v>1</v>
      </c>
      <c r="B150" s="252" t="s">
        <v>2175</v>
      </c>
      <c r="C150" s="253"/>
      <c r="G150" s="270" t="s">
        <v>1452</v>
      </c>
      <c r="K150" s="270">
        <v>18123</v>
      </c>
      <c r="L150" s="270" t="s">
        <v>1939</v>
      </c>
    </row>
    <row r="151" spans="1:12" ht="21.75" customHeight="1" x14ac:dyDescent="0.25">
      <c r="A151" s="251">
        <v>1</v>
      </c>
      <c r="B151" s="252" t="s">
        <v>2176</v>
      </c>
      <c r="C151" s="253"/>
      <c r="G151" s="270" t="s">
        <v>1453</v>
      </c>
      <c r="K151" s="270">
        <v>19473</v>
      </c>
      <c r="L151" s="270" t="s">
        <v>1939</v>
      </c>
    </row>
    <row r="152" spans="1:12" ht="21.75" customHeight="1" x14ac:dyDescent="0.25">
      <c r="A152" s="251">
        <v>1</v>
      </c>
      <c r="B152" s="252" t="s">
        <v>2177</v>
      </c>
      <c r="C152" s="253"/>
      <c r="G152" s="270" t="s">
        <v>3274</v>
      </c>
      <c r="K152" s="270">
        <v>43104</v>
      </c>
      <c r="L152" s="270" t="s">
        <v>1939</v>
      </c>
    </row>
    <row r="153" spans="1:12" ht="21.75" customHeight="1" x14ac:dyDescent="0.25">
      <c r="A153" s="251">
        <v>1</v>
      </c>
      <c r="B153" s="252" t="s">
        <v>2178</v>
      </c>
      <c r="C153" s="253"/>
      <c r="G153" s="270" t="s">
        <v>3275</v>
      </c>
      <c r="K153" s="270">
        <v>44726</v>
      </c>
      <c r="L153" s="270" t="s">
        <v>1939</v>
      </c>
    </row>
    <row r="154" spans="1:12" ht="21.75" customHeight="1" x14ac:dyDescent="0.25">
      <c r="A154" s="251">
        <v>1</v>
      </c>
      <c r="B154" s="252" t="s">
        <v>2179</v>
      </c>
      <c r="C154" s="253"/>
      <c r="G154" s="270" t="s">
        <v>3276</v>
      </c>
      <c r="K154" s="270">
        <v>82033</v>
      </c>
      <c r="L154" s="270" t="s">
        <v>1939</v>
      </c>
    </row>
    <row r="155" spans="1:12" ht="21.75" customHeight="1" x14ac:dyDescent="0.25">
      <c r="A155" s="251">
        <v>1</v>
      </c>
      <c r="B155" s="252" t="s">
        <v>2180</v>
      </c>
      <c r="C155" s="253"/>
      <c r="G155" s="270" t="s">
        <v>3277</v>
      </c>
      <c r="K155" s="270">
        <v>74576</v>
      </c>
      <c r="L155" s="270" t="s">
        <v>1939</v>
      </c>
    </row>
    <row r="156" spans="1:12" ht="21.75" customHeight="1" x14ac:dyDescent="0.25">
      <c r="A156" s="251">
        <v>1</v>
      </c>
      <c r="B156" s="252" t="s">
        <v>2181</v>
      </c>
      <c r="C156" s="253"/>
      <c r="G156" s="270" t="s">
        <v>1458</v>
      </c>
      <c r="K156" s="270">
        <v>41467</v>
      </c>
      <c r="L156" s="270" t="s">
        <v>1939</v>
      </c>
    </row>
    <row r="157" spans="1:12" ht="21.75" customHeight="1" x14ac:dyDescent="0.25">
      <c r="A157" s="251">
        <v>1</v>
      </c>
      <c r="B157" s="252" t="s">
        <v>2182</v>
      </c>
      <c r="C157" s="253"/>
      <c r="G157" s="270" t="s">
        <v>1459</v>
      </c>
      <c r="K157" s="270">
        <v>43173</v>
      </c>
      <c r="L157" s="270" t="s">
        <v>1939</v>
      </c>
    </row>
    <row r="158" spans="1:12" ht="21.75" customHeight="1" x14ac:dyDescent="0.25">
      <c r="A158" s="251">
        <v>1</v>
      </c>
      <c r="B158" s="252" t="s">
        <v>2183</v>
      </c>
      <c r="C158" s="253"/>
      <c r="G158" s="270" t="s">
        <v>3278</v>
      </c>
      <c r="K158" s="270">
        <v>93792</v>
      </c>
      <c r="L158" s="270" t="s">
        <v>1939</v>
      </c>
    </row>
    <row r="159" spans="1:12" ht="21.75" customHeight="1" x14ac:dyDescent="0.25">
      <c r="A159" s="251">
        <v>1</v>
      </c>
      <c r="B159" s="252" t="s">
        <v>2184</v>
      </c>
      <c r="C159" s="253"/>
      <c r="G159" s="270" t="s">
        <v>3279</v>
      </c>
      <c r="K159" s="270">
        <v>95498</v>
      </c>
      <c r="L159" s="270" t="s">
        <v>1939</v>
      </c>
    </row>
    <row r="160" spans="1:12" ht="21.75" customHeight="1" x14ac:dyDescent="0.25">
      <c r="A160" s="251">
        <v>1</v>
      </c>
      <c r="B160" s="252" t="s">
        <v>2185</v>
      </c>
      <c r="C160" s="253"/>
      <c r="G160" s="270" t="s">
        <v>1462</v>
      </c>
      <c r="K160" s="270">
        <v>91307</v>
      </c>
      <c r="L160" s="270" t="s">
        <v>1939</v>
      </c>
    </row>
    <row r="161" spans="1:12" ht="21.75" customHeight="1" x14ac:dyDescent="0.25">
      <c r="A161" s="251">
        <v>1</v>
      </c>
      <c r="B161" s="180" t="s">
        <v>2186</v>
      </c>
      <c r="C161" s="253"/>
      <c r="G161" s="270" t="s">
        <v>3280</v>
      </c>
      <c r="K161" s="180">
        <v>151482</v>
      </c>
      <c r="L161" s="270" t="s">
        <v>1939</v>
      </c>
    </row>
    <row r="162" spans="1:12" ht="21.75" customHeight="1" x14ac:dyDescent="0.25">
      <c r="A162" s="251">
        <v>1</v>
      </c>
      <c r="B162" s="180" t="s">
        <v>2187</v>
      </c>
      <c r="C162" s="253"/>
      <c r="G162" s="270" t="s">
        <v>1123</v>
      </c>
      <c r="K162" s="180">
        <v>873</v>
      </c>
      <c r="L162" s="270" t="s">
        <v>1939</v>
      </c>
    </row>
    <row r="163" spans="1:12" ht="21.75" customHeight="1" x14ac:dyDescent="0.25">
      <c r="A163" s="251">
        <v>1</v>
      </c>
      <c r="B163" s="180" t="s">
        <v>2188</v>
      </c>
      <c r="C163" s="253"/>
      <c r="G163" s="270" t="s">
        <v>1122</v>
      </c>
      <c r="K163" s="180">
        <v>707</v>
      </c>
      <c r="L163" s="270" t="s">
        <v>1939</v>
      </c>
    </row>
    <row r="164" spans="1:12" ht="21.75" customHeight="1" x14ac:dyDescent="0.25">
      <c r="A164" s="251">
        <v>1</v>
      </c>
      <c r="B164" s="180" t="s">
        <v>2189</v>
      </c>
      <c r="C164" s="253"/>
      <c r="G164" s="270" t="s">
        <v>1127</v>
      </c>
      <c r="K164" s="180">
        <v>961</v>
      </c>
      <c r="L164" s="270" t="s">
        <v>1939</v>
      </c>
    </row>
    <row r="165" spans="1:12" ht="21.75" customHeight="1" x14ac:dyDescent="0.25">
      <c r="A165" s="251">
        <v>1</v>
      </c>
      <c r="B165" s="180" t="s">
        <v>2190</v>
      </c>
      <c r="C165" s="253"/>
      <c r="G165" s="270" t="s">
        <v>1126</v>
      </c>
      <c r="K165" s="180">
        <v>928</v>
      </c>
      <c r="L165" s="270" t="s">
        <v>1939</v>
      </c>
    </row>
    <row r="166" spans="1:12" ht="21.75" customHeight="1" x14ac:dyDescent="0.25">
      <c r="A166" s="251">
        <v>1</v>
      </c>
      <c r="B166" s="180" t="s">
        <v>2191</v>
      </c>
      <c r="C166" s="253"/>
      <c r="G166" s="270" t="s">
        <v>1125</v>
      </c>
      <c r="K166" s="180">
        <v>747</v>
      </c>
      <c r="L166" s="270" t="s">
        <v>1939</v>
      </c>
    </row>
    <row r="167" spans="1:12" ht="21.75" customHeight="1" x14ac:dyDescent="0.25">
      <c r="A167" s="251">
        <v>1</v>
      </c>
      <c r="B167" s="180" t="s">
        <v>2192</v>
      </c>
      <c r="C167" s="253"/>
      <c r="G167" s="270" t="s">
        <v>1138</v>
      </c>
      <c r="K167" s="180">
        <v>857</v>
      </c>
      <c r="L167" s="270" t="s">
        <v>1939</v>
      </c>
    </row>
    <row r="168" spans="1:12" ht="21.75" customHeight="1" x14ac:dyDescent="0.25">
      <c r="A168" s="251">
        <v>1</v>
      </c>
      <c r="B168" s="180" t="s">
        <v>2193</v>
      </c>
      <c r="C168" s="253"/>
      <c r="G168" s="270" t="s">
        <v>1137</v>
      </c>
      <c r="K168" s="180">
        <v>818</v>
      </c>
      <c r="L168" s="270" t="s">
        <v>1939</v>
      </c>
    </row>
    <row r="169" spans="1:12" ht="21.75" customHeight="1" x14ac:dyDescent="0.25">
      <c r="A169" s="251">
        <v>1</v>
      </c>
      <c r="B169" s="180" t="s">
        <v>2194</v>
      </c>
      <c r="C169" s="253"/>
      <c r="G169" s="270" t="s">
        <v>1136</v>
      </c>
      <c r="K169" s="180">
        <v>640</v>
      </c>
      <c r="L169" s="270" t="s">
        <v>1939</v>
      </c>
    </row>
    <row r="170" spans="1:12" ht="21.75" customHeight="1" x14ac:dyDescent="0.25">
      <c r="A170" s="251">
        <v>1</v>
      </c>
      <c r="B170" s="180" t="s">
        <v>2195</v>
      </c>
      <c r="C170" s="253"/>
      <c r="G170" s="270" t="s">
        <v>1133</v>
      </c>
      <c r="K170" s="180">
        <v>1061</v>
      </c>
      <c r="L170" s="270" t="s">
        <v>1939</v>
      </c>
    </row>
    <row r="171" spans="1:12" ht="21.75" customHeight="1" x14ac:dyDescent="0.25">
      <c r="A171" s="251">
        <v>1</v>
      </c>
      <c r="B171" s="180" t="s">
        <v>2196</v>
      </c>
      <c r="C171" s="253"/>
      <c r="G171" s="270" t="s">
        <v>1132</v>
      </c>
      <c r="K171" s="180">
        <v>1032</v>
      </c>
      <c r="L171" s="270" t="s">
        <v>1939</v>
      </c>
    </row>
    <row r="172" spans="1:12" ht="21.75" customHeight="1" x14ac:dyDescent="0.25">
      <c r="A172" s="251">
        <v>1</v>
      </c>
      <c r="B172" s="180" t="s">
        <v>2197</v>
      </c>
      <c r="C172" s="253"/>
      <c r="G172" s="270" t="s">
        <v>1131</v>
      </c>
      <c r="K172" s="180">
        <v>878</v>
      </c>
      <c r="L172" s="270" t="s">
        <v>1939</v>
      </c>
    </row>
    <row r="173" spans="1:12" ht="21.75" customHeight="1" x14ac:dyDescent="0.25">
      <c r="A173" s="251">
        <v>1</v>
      </c>
      <c r="B173" s="180" t="s">
        <v>2198</v>
      </c>
      <c r="C173" s="253"/>
      <c r="G173" s="270" t="s">
        <v>1130</v>
      </c>
      <c r="K173" s="180">
        <v>1418</v>
      </c>
      <c r="L173" s="270" t="s">
        <v>1939</v>
      </c>
    </row>
    <row r="174" spans="1:12" ht="21.75" customHeight="1" x14ac:dyDescent="0.25">
      <c r="A174" s="251">
        <v>1</v>
      </c>
      <c r="B174" s="180" t="s">
        <v>2199</v>
      </c>
      <c r="C174" s="253"/>
      <c r="G174" s="270" t="s">
        <v>1129</v>
      </c>
      <c r="K174" s="180">
        <v>1380</v>
      </c>
      <c r="L174" s="270" t="s">
        <v>1939</v>
      </c>
    </row>
    <row r="175" spans="1:12" ht="21.75" customHeight="1" x14ac:dyDescent="0.25">
      <c r="A175" s="251">
        <v>1</v>
      </c>
      <c r="B175" s="180" t="s">
        <v>2200</v>
      </c>
      <c r="C175" s="253"/>
      <c r="G175" s="270" t="s">
        <v>1128</v>
      </c>
      <c r="K175" s="180">
        <v>1173</v>
      </c>
      <c r="L175" s="270" t="s">
        <v>1939</v>
      </c>
    </row>
    <row r="176" spans="1:12" ht="21.75" customHeight="1" x14ac:dyDescent="0.25">
      <c r="A176" s="251">
        <v>1</v>
      </c>
      <c r="B176" s="180" t="s">
        <v>2201</v>
      </c>
      <c r="C176" s="253"/>
      <c r="G176" s="270" t="s">
        <v>1135</v>
      </c>
      <c r="K176" s="180">
        <v>1487</v>
      </c>
      <c r="L176" s="270" t="s">
        <v>1939</v>
      </c>
    </row>
    <row r="177" spans="1:12" ht="21.75" customHeight="1" x14ac:dyDescent="0.25">
      <c r="A177" s="251">
        <v>1</v>
      </c>
      <c r="B177" s="252" t="s">
        <v>2202</v>
      </c>
      <c r="C177" s="253"/>
      <c r="G177" s="270" t="s">
        <v>1134</v>
      </c>
      <c r="K177" s="270">
        <v>1321</v>
      </c>
      <c r="L177" s="270" t="s">
        <v>1939</v>
      </c>
    </row>
    <row r="178" spans="1:12" ht="21.75" customHeight="1" x14ac:dyDescent="0.25">
      <c r="A178" s="251">
        <v>1</v>
      </c>
      <c r="B178" s="244" t="s">
        <v>2203</v>
      </c>
      <c r="C178" s="253"/>
      <c r="G178" s="270" t="s">
        <v>1118</v>
      </c>
      <c r="K178" s="244">
        <v>1695</v>
      </c>
      <c r="L178" s="270" t="s">
        <v>1939</v>
      </c>
    </row>
    <row r="179" spans="1:12" ht="21.75" customHeight="1" x14ac:dyDescent="0.25">
      <c r="A179" s="251">
        <v>1</v>
      </c>
      <c r="B179" s="244" t="s">
        <v>2204</v>
      </c>
      <c r="C179" s="253"/>
      <c r="G179" s="270" t="s">
        <v>1116</v>
      </c>
      <c r="K179" s="244">
        <v>2340</v>
      </c>
      <c r="L179" s="270" t="s">
        <v>1939</v>
      </c>
    </row>
    <row r="180" spans="1:12" ht="21.75" customHeight="1" x14ac:dyDescent="0.25">
      <c r="A180" s="251">
        <v>1</v>
      </c>
      <c r="B180" s="244" t="s">
        <v>2205</v>
      </c>
      <c r="C180" s="253"/>
      <c r="G180" s="270" t="s">
        <v>1117</v>
      </c>
      <c r="K180" s="244">
        <v>2713</v>
      </c>
      <c r="L180" s="270" t="s">
        <v>1939</v>
      </c>
    </row>
    <row r="181" spans="1:12" ht="21.75" customHeight="1" x14ac:dyDescent="0.25">
      <c r="A181" s="251">
        <v>1</v>
      </c>
      <c r="B181" s="244" t="s">
        <v>2206</v>
      </c>
      <c r="C181" s="253"/>
      <c r="G181" s="270" t="s">
        <v>1141</v>
      </c>
      <c r="K181" s="244">
        <v>6304</v>
      </c>
      <c r="L181" s="270" t="s">
        <v>1939</v>
      </c>
    </row>
    <row r="182" spans="1:12" ht="21.75" customHeight="1" x14ac:dyDescent="0.25">
      <c r="A182" s="251">
        <v>1</v>
      </c>
      <c r="B182" s="244" t="s">
        <v>2207</v>
      </c>
      <c r="C182" s="253"/>
      <c r="G182" s="270" t="s">
        <v>1221</v>
      </c>
      <c r="K182" s="244">
        <v>4768</v>
      </c>
      <c r="L182" s="270" t="s">
        <v>1939</v>
      </c>
    </row>
    <row r="183" spans="1:12" ht="21.75" customHeight="1" x14ac:dyDescent="0.25">
      <c r="A183" s="251">
        <v>1</v>
      </c>
      <c r="B183" s="244" t="s">
        <v>2208</v>
      </c>
      <c r="C183" s="253"/>
      <c r="G183" s="270" t="s">
        <v>1222</v>
      </c>
      <c r="K183" s="244">
        <v>5621</v>
      </c>
      <c r="L183" s="270" t="s">
        <v>1939</v>
      </c>
    </row>
    <row r="184" spans="1:12" ht="21.75" customHeight="1" x14ac:dyDescent="0.25">
      <c r="A184" s="251">
        <v>1</v>
      </c>
      <c r="B184" s="244" t="s">
        <v>2209</v>
      </c>
      <c r="C184" s="253"/>
      <c r="G184" s="270" t="s">
        <v>1226</v>
      </c>
      <c r="K184" s="244">
        <v>10018</v>
      </c>
      <c r="L184" s="270" t="s">
        <v>1939</v>
      </c>
    </row>
    <row r="185" spans="1:12" ht="21.75" customHeight="1" x14ac:dyDescent="0.25">
      <c r="A185" s="251">
        <v>1</v>
      </c>
      <c r="B185" s="244" t="s">
        <v>2210</v>
      </c>
      <c r="C185" s="253"/>
      <c r="G185" s="270" t="s">
        <v>1227</v>
      </c>
      <c r="K185" s="244">
        <v>11017</v>
      </c>
      <c r="L185" s="270" t="s">
        <v>1939</v>
      </c>
    </row>
    <row r="186" spans="1:12" ht="21.75" customHeight="1" x14ac:dyDescent="0.25">
      <c r="A186" s="251">
        <v>1</v>
      </c>
      <c r="B186" s="244" t="s">
        <v>2211</v>
      </c>
      <c r="C186" s="253"/>
      <c r="G186" s="270" t="s">
        <v>1228</v>
      </c>
      <c r="K186" s="244">
        <v>22360</v>
      </c>
      <c r="L186" s="270" t="s">
        <v>1939</v>
      </c>
    </row>
    <row r="187" spans="1:12" ht="21.75" customHeight="1" x14ac:dyDescent="0.25">
      <c r="A187" s="251">
        <v>1</v>
      </c>
      <c r="B187" s="244" t="s">
        <v>2212</v>
      </c>
      <c r="C187" s="253"/>
      <c r="G187" s="270" t="s">
        <v>1219</v>
      </c>
      <c r="K187" s="244">
        <v>5133</v>
      </c>
      <c r="L187" s="270" t="s">
        <v>1939</v>
      </c>
    </row>
    <row r="188" spans="1:12" ht="21.75" customHeight="1" x14ac:dyDescent="0.25">
      <c r="A188" s="251">
        <v>1</v>
      </c>
      <c r="B188" s="244" t="s">
        <v>2213</v>
      </c>
      <c r="C188" s="253"/>
      <c r="G188" s="270" t="s">
        <v>1220</v>
      </c>
      <c r="K188" s="244">
        <v>5989</v>
      </c>
      <c r="L188" s="270" t="s">
        <v>1939</v>
      </c>
    </row>
    <row r="189" spans="1:12" ht="21.75" customHeight="1" x14ac:dyDescent="0.25">
      <c r="A189" s="251">
        <v>1</v>
      </c>
      <c r="B189" s="244" t="s">
        <v>2214</v>
      </c>
      <c r="C189" s="253"/>
      <c r="G189" s="270" t="s">
        <v>1223</v>
      </c>
      <c r="K189" s="244">
        <v>10535</v>
      </c>
      <c r="L189" s="270" t="s">
        <v>1939</v>
      </c>
    </row>
    <row r="190" spans="1:12" ht="21.75" customHeight="1" x14ac:dyDescent="0.25">
      <c r="A190" s="251">
        <v>1</v>
      </c>
      <c r="B190" s="244" t="s">
        <v>2215</v>
      </c>
      <c r="C190" s="253"/>
      <c r="G190" s="270" t="s">
        <v>1224</v>
      </c>
      <c r="K190" s="244">
        <v>11536</v>
      </c>
      <c r="L190" s="270" t="s">
        <v>1939</v>
      </c>
    </row>
    <row r="191" spans="1:12" ht="21.75" customHeight="1" x14ac:dyDescent="0.25">
      <c r="A191" s="251">
        <v>1</v>
      </c>
      <c r="B191" s="244" t="s">
        <v>2216</v>
      </c>
      <c r="C191" s="253"/>
      <c r="G191" s="270" t="s">
        <v>1218</v>
      </c>
      <c r="K191" s="244">
        <v>5199</v>
      </c>
      <c r="L191" s="270" t="s">
        <v>1939</v>
      </c>
    </row>
    <row r="192" spans="1:12" ht="21.75" customHeight="1" x14ac:dyDescent="0.25">
      <c r="A192" s="251">
        <v>1</v>
      </c>
      <c r="B192" s="244" t="s">
        <v>2217</v>
      </c>
      <c r="C192" s="253"/>
      <c r="G192" s="270" t="s">
        <v>1214</v>
      </c>
      <c r="K192" s="244">
        <v>3721</v>
      </c>
      <c r="L192" s="270" t="s">
        <v>1939</v>
      </c>
    </row>
    <row r="193" spans="1:12" ht="21.75" customHeight="1" x14ac:dyDescent="0.25">
      <c r="A193" s="251">
        <v>1</v>
      </c>
      <c r="B193" s="244" t="s">
        <v>2218</v>
      </c>
      <c r="C193" s="253"/>
      <c r="G193" s="270" t="s">
        <v>1208</v>
      </c>
      <c r="K193" s="244">
        <v>10118</v>
      </c>
      <c r="L193" s="270" t="s">
        <v>1939</v>
      </c>
    </row>
    <row r="194" spans="1:12" ht="21.75" customHeight="1" x14ac:dyDescent="0.25">
      <c r="A194" s="251">
        <v>1</v>
      </c>
      <c r="B194" s="244" t="s">
        <v>2219</v>
      </c>
      <c r="C194" s="253"/>
      <c r="G194" s="270" t="s">
        <v>1209</v>
      </c>
      <c r="K194" s="244">
        <v>11450</v>
      </c>
      <c r="L194" s="270" t="s">
        <v>1939</v>
      </c>
    </row>
    <row r="195" spans="1:12" ht="21.75" customHeight="1" x14ac:dyDescent="0.25">
      <c r="A195" s="251">
        <v>1</v>
      </c>
      <c r="B195" s="244" t="s">
        <v>2220</v>
      </c>
      <c r="C195" s="253"/>
      <c r="G195" s="270" t="s">
        <v>1210</v>
      </c>
      <c r="K195" s="244">
        <v>12035</v>
      </c>
      <c r="L195" s="270" t="s">
        <v>1939</v>
      </c>
    </row>
    <row r="196" spans="1:12" ht="21.75" customHeight="1" x14ac:dyDescent="0.25">
      <c r="A196" s="251">
        <v>1</v>
      </c>
      <c r="B196" s="244" t="s">
        <v>2221</v>
      </c>
      <c r="C196" s="253"/>
      <c r="G196" s="270" t="s">
        <v>1211</v>
      </c>
      <c r="K196" s="244">
        <v>12840</v>
      </c>
      <c r="L196" s="270" t="s">
        <v>1939</v>
      </c>
    </row>
    <row r="197" spans="1:12" ht="21.75" customHeight="1" x14ac:dyDescent="0.25">
      <c r="A197" s="251">
        <v>1</v>
      </c>
      <c r="B197" s="244" t="s">
        <v>2222</v>
      </c>
      <c r="C197" s="253"/>
      <c r="G197" s="270" t="s">
        <v>1264</v>
      </c>
      <c r="K197" s="244">
        <v>8664</v>
      </c>
      <c r="L197" s="270" t="s">
        <v>1939</v>
      </c>
    </row>
    <row r="198" spans="1:12" ht="21.75" customHeight="1" x14ac:dyDescent="0.25">
      <c r="A198" s="251">
        <v>1</v>
      </c>
      <c r="B198" s="244" t="s">
        <v>2223</v>
      </c>
      <c r="C198" s="253"/>
      <c r="G198" s="270" t="s">
        <v>1265</v>
      </c>
      <c r="K198" s="244">
        <v>9518</v>
      </c>
      <c r="L198" s="270" t="s">
        <v>1939</v>
      </c>
    </row>
    <row r="199" spans="1:12" ht="21.75" customHeight="1" x14ac:dyDescent="0.25">
      <c r="A199" s="251">
        <v>1</v>
      </c>
      <c r="B199" s="244" t="s">
        <v>2224</v>
      </c>
      <c r="C199" s="253"/>
      <c r="G199" s="270" t="s">
        <v>1297</v>
      </c>
      <c r="K199" s="244">
        <v>16943</v>
      </c>
      <c r="L199" s="270" t="s">
        <v>1939</v>
      </c>
    </row>
    <row r="200" spans="1:12" ht="21.75" customHeight="1" x14ac:dyDescent="0.25">
      <c r="A200" s="251">
        <v>1</v>
      </c>
      <c r="B200" s="244" t="s">
        <v>2225</v>
      </c>
      <c r="C200" s="253"/>
      <c r="G200" s="270" t="s">
        <v>1298</v>
      </c>
      <c r="K200" s="244">
        <v>17945</v>
      </c>
      <c r="L200" s="270" t="s">
        <v>1939</v>
      </c>
    </row>
    <row r="201" spans="1:12" ht="21.75" customHeight="1" x14ac:dyDescent="0.25">
      <c r="A201" s="251">
        <v>1</v>
      </c>
      <c r="B201" s="244" t="s">
        <v>2226</v>
      </c>
      <c r="C201" s="253"/>
      <c r="G201" s="270" t="s">
        <v>1299</v>
      </c>
      <c r="K201" s="244">
        <v>28938</v>
      </c>
      <c r="L201" s="270" t="s">
        <v>1939</v>
      </c>
    </row>
    <row r="202" spans="1:12" ht="21.75" customHeight="1" x14ac:dyDescent="0.25">
      <c r="A202" s="251">
        <v>1</v>
      </c>
      <c r="B202" s="244" t="s">
        <v>2227</v>
      </c>
      <c r="C202" s="253"/>
      <c r="G202" s="270" t="s">
        <v>1262</v>
      </c>
      <c r="K202" s="244">
        <v>9568</v>
      </c>
      <c r="L202" s="270" t="s">
        <v>1939</v>
      </c>
    </row>
    <row r="203" spans="1:12" ht="21.75" customHeight="1" x14ac:dyDescent="0.25">
      <c r="A203" s="251">
        <v>1</v>
      </c>
      <c r="B203" s="244" t="s">
        <v>2228</v>
      </c>
      <c r="C203" s="253"/>
      <c r="G203" s="270" t="s">
        <v>1263</v>
      </c>
      <c r="K203" s="244">
        <v>10421</v>
      </c>
      <c r="L203" s="270" t="s">
        <v>1939</v>
      </c>
    </row>
    <row r="204" spans="1:12" ht="21.75" customHeight="1" x14ac:dyDescent="0.25">
      <c r="A204" s="251">
        <v>1</v>
      </c>
      <c r="B204" s="244" t="s">
        <v>2229</v>
      </c>
      <c r="C204" s="253"/>
      <c r="G204" s="270" t="s">
        <v>1294</v>
      </c>
      <c r="K204" s="244">
        <v>16855</v>
      </c>
      <c r="L204" s="270" t="s">
        <v>1939</v>
      </c>
    </row>
    <row r="205" spans="1:12" ht="21.75" customHeight="1" x14ac:dyDescent="0.25">
      <c r="A205" s="251">
        <v>1</v>
      </c>
      <c r="B205" s="244" t="s">
        <v>2230</v>
      </c>
      <c r="C205" s="253"/>
      <c r="G205" s="270" t="s">
        <v>1295</v>
      </c>
      <c r="K205" s="244">
        <v>17855</v>
      </c>
      <c r="L205" s="270" t="s">
        <v>1939</v>
      </c>
    </row>
    <row r="206" spans="1:12" ht="21.75" customHeight="1" x14ac:dyDescent="0.25">
      <c r="A206" s="251">
        <v>1</v>
      </c>
      <c r="B206" s="244" t="s">
        <v>2231</v>
      </c>
      <c r="C206" s="253"/>
      <c r="G206" s="270" t="s">
        <v>1261</v>
      </c>
      <c r="K206" s="244">
        <v>9026</v>
      </c>
      <c r="L206" s="270" t="s">
        <v>1939</v>
      </c>
    </row>
    <row r="207" spans="1:12" ht="21.75" customHeight="1" x14ac:dyDescent="0.25">
      <c r="A207" s="251">
        <v>1</v>
      </c>
      <c r="B207" s="244" t="s">
        <v>2232</v>
      </c>
      <c r="C207" s="253"/>
      <c r="G207" s="270" t="s">
        <v>1258</v>
      </c>
      <c r="K207" s="244">
        <v>9501</v>
      </c>
      <c r="L207" s="270" t="s">
        <v>1939</v>
      </c>
    </row>
    <row r="208" spans="1:12" ht="21.75" customHeight="1" x14ac:dyDescent="0.25">
      <c r="A208" s="251">
        <v>1</v>
      </c>
      <c r="B208" s="244" t="s">
        <v>2233</v>
      </c>
      <c r="C208" s="253"/>
      <c r="G208" s="270" t="s">
        <v>1254</v>
      </c>
      <c r="K208" s="244">
        <v>21450</v>
      </c>
      <c r="L208" s="270" t="s">
        <v>1939</v>
      </c>
    </row>
    <row r="209" spans="1:12" ht="21.75" customHeight="1" x14ac:dyDescent="0.25">
      <c r="A209" s="251">
        <v>1</v>
      </c>
      <c r="B209" s="244" t="s">
        <v>2234</v>
      </c>
      <c r="C209" s="253"/>
      <c r="G209" s="270" t="s">
        <v>1255</v>
      </c>
      <c r="K209" s="244">
        <v>22284</v>
      </c>
      <c r="L209" s="270" t="s">
        <v>1939</v>
      </c>
    </row>
    <row r="210" spans="1:12" ht="21.75" customHeight="1" x14ac:dyDescent="0.25">
      <c r="A210" s="251">
        <v>1</v>
      </c>
      <c r="B210" s="25" t="s">
        <v>2235</v>
      </c>
      <c r="C210" s="253"/>
      <c r="G210" s="270" t="s">
        <v>3281</v>
      </c>
      <c r="K210" s="25">
        <v>15296</v>
      </c>
      <c r="L210" s="270" t="s">
        <v>1939</v>
      </c>
    </row>
    <row r="211" spans="1:12" ht="21.75" customHeight="1" x14ac:dyDescent="0.25">
      <c r="A211" s="251">
        <v>1</v>
      </c>
      <c r="B211" s="25" t="s">
        <v>2236</v>
      </c>
      <c r="C211" s="253"/>
      <c r="G211" s="270" t="s">
        <v>3282</v>
      </c>
      <c r="K211" s="25">
        <v>16552</v>
      </c>
      <c r="L211" s="270" t="s">
        <v>1939</v>
      </c>
    </row>
    <row r="212" spans="1:12" ht="21.75" customHeight="1" x14ac:dyDescent="0.25">
      <c r="A212" s="251">
        <v>1</v>
      </c>
      <c r="B212" s="25" t="s">
        <v>2237</v>
      </c>
      <c r="C212" s="253"/>
      <c r="G212" s="270" t="s">
        <v>3283</v>
      </c>
      <c r="K212" s="25">
        <v>58234</v>
      </c>
      <c r="L212" s="270" t="s">
        <v>1939</v>
      </c>
    </row>
    <row r="213" spans="1:12" ht="21.75" customHeight="1" x14ac:dyDescent="0.25">
      <c r="A213" s="251">
        <v>1</v>
      </c>
      <c r="B213" s="25" t="s">
        <v>2238</v>
      </c>
      <c r="C213" s="253"/>
      <c r="G213" s="270" t="s">
        <v>3284</v>
      </c>
      <c r="K213" s="25">
        <v>64072</v>
      </c>
      <c r="L213" s="270" t="s">
        <v>1939</v>
      </c>
    </row>
    <row r="214" spans="1:12" ht="21.75" customHeight="1" x14ac:dyDescent="0.25">
      <c r="A214" s="251">
        <v>1</v>
      </c>
      <c r="B214" s="25" t="s">
        <v>2239</v>
      </c>
      <c r="C214" s="253"/>
      <c r="G214" s="270" t="s">
        <v>3285</v>
      </c>
      <c r="K214" s="25">
        <v>26959</v>
      </c>
      <c r="L214" s="270" t="s">
        <v>1939</v>
      </c>
    </row>
    <row r="215" spans="1:12" ht="21.75" customHeight="1" x14ac:dyDescent="0.25">
      <c r="A215" s="251">
        <v>1</v>
      </c>
      <c r="B215" s="25" t="s">
        <v>2240</v>
      </c>
      <c r="C215" s="253"/>
      <c r="G215" s="270" t="s">
        <v>3286</v>
      </c>
      <c r="K215" s="25">
        <v>29655</v>
      </c>
      <c r="L215" s="270" t="s">
        <v>1939</v>
      </c>
    </row>
    <row r="216" spans="1:12" ht="21.75" customHeight="1" x14ac:dyDescent="0.25">
      <c r="A216" s="251">
        <v>1</v>
      </c>
      <c r="B216" s="25" t="s">
        <v>2241</v>
      </c>
      <c r="C216" s="253"/>
      <c r="G216" s="270" t="s">
        <v>1449</v>
      </c>
      <c r="K216" s="25">
        <v>15770</v>
      </c>
      <c r="L216" s="270" t="s">
        <v>1939</v>
      </c>
    </row>
    <row r="217" spans="1:12" ht="21.75" customHeight="1" x14ac:dyDescent="0.25">
      <c r="A217" s="251">
        <v>1</v>
      </c>
      <c r="B217" s="25" t="s">
        <v>2242</v>
      </c>
      <c r="C217" s="253"/>
      <c r="G217" s="270" t="s">
        <v>1450</v>
      </c>
      <c r="K217" s="25">
        <v>17120</v>
      </c>
      <c r="L217" s="270" t="s">
        <v>1939</v>
      </c>
    </row>
    <row r="218" spans="1:12" ht="21.75" customHeight="1" x14ac:dyDescent="0.25">
      <c r="A218" s="251">
        <v>1</v>
      </c>
      <c r="B218" s="25" t="s">
        <v>2243</v>
      </c>
      <c r="C218" s="253"/>
      <c r="G218" s="270" t="s">
        <v>3287</v>
      </c>
      <c r="K218" s="25">
        <v>72102</v>
      </c>
      <c r="L218" s="270" t="s">
        <v>1939</v>
      </c>
    </row>
    <row r="219" spans="1:12" ht="21.75" customHeight="1" x14ac:dyDescent="0.25">
      <c r="A219" s="251">
        <v>1</v>
      </c>
      <c r="B219" s="25" t="s">
        <v>2244</v>
      </c>
      <c r="C219" s="253"/>
      <c r="G219" s="270" t="s">
        <v>3288</v>
      </c>
      <c r="K219" s="25">
        <v>79288</v>
      </c>
      <c r="L219" s="270" t="s">
        <v>1939</v>
      </c>
    </row>
    <row r="220" spans="1:12" ht="21.75" customHeight="1" x14ac:dyDescent="0.25">
      <c r="A220" s="251">
        <v>1</v>
      </c>
      <c r="B220" s="25" t="s">
        <v>2245</v>
      </c>
      <c r="C220" s="253"/>
      <c r="G220" s="270" t="s">
        <v>3289</v>
      </c>
      <c r="K220" s="25">
        <v>38427</v>
      </c>
      <c r="L220" s="270" t="s">
        <v>1939</v>
      </c>
    </row>
    <row r="221" spans="1:12" ht="21.75" customHeight="1" x14ac:dyDescent="0.25">
      <c r="A221" s="251">
        <v>1</v>
      </c>
      <c r="B221" s="19" t="s">
        <v>2246</v>
      </c>
      <c r="C221" s="253"/>
      <c r="G221" s="270" t="s">
        <v>3290</v>
      </c>
      <c r="K221" s="19">
        <v>34932</v>
      </c>
      <c r="L221" s="270" t="s">
        <v>1939</v>
      </c>
    </row>
    <row r="222" spans="1:12" ht="21.75" customHeight="1" x14ac:dyDescent="0.25">
      <c r="A222" s="251">
        <v>1</v>
      </c>
      <c r="B222" s="19" t="s">
        <v>2247</v>
      </c>
      <c r="C222" s="253"/>
      <c r="G222" s="270" t="s">
        <v>1455</v>
      </c>
      <c r="K222" s="19">
        <v>17827</v>
      </c>
      <c r="L222" s="270" t="s">
        <v>1939</v>
      </c>
    </row>
    <row r="223" spans="1:12" ht="21.75" customHeight="1" x14ac:dyDescent="0.25">
      <c r="A223" s="251">
        <v>1</v>
      </c>
      <c r="B223" s="19" t="s">
        <v>2248</v>
      </c>
      <c r="C223" s="253"/>
      <c r="G223" s="270" t="s">
        <v>1456</v>
      </c>
      <c r="K223" s="19">
        <v>19179</v>
      </c>
      <c r="L223" s="270" t="s">
        <v>1939</v>
      </c>
    </row>
    <row r="224" spans="1:12" ht="21.75" customHeight="1" x14ac:dyDescent="0.25">
      <c r="A224" s="251">
        <v>1</v>
      </c>
      <c r="B224" s="19" t="s">
        <v>1894</v>
      </c>
      <c r="C224" s="253"/>
      <c r="G224" s="270" t="s">
        <v>1532</v>
      </c>
      <c r="K224" s="19">
        <v>10010</v>
      </c>
      <c r="L224" s="270" t="s">
        <v>1939</v>
      </c>
    </row>
    <row r="225" spans="1:12" ht="21.75" customHeight="1" x14ac:dyDescent="0.25">
      <c r="A225" s="251">
        <v>1</v>
      </c>
      <c r="B225" s="19" t="s">
        <v>1893</v>
      </c>
      <c r="C225" s="253"/>
      <c r="G225" s="270" t="s">
        <v>1533</v>
      </c>
      <c r="K225" s="19">
        <v>11480</v>
      </c>
      <c r="L225" s="270" t="s">
        <v>1939</v>
      </c>
    </row>
    <row r="226" spans="1:12" ht="21.75" customHeight="1" x14ac:dyDescent="0.25">
      <c r="A226" s="251">
        <v>1</v>
      </c>
      <c r="B226" s="19" t="s">
        <v>1892</v>
      </c>
      <c r="C226" s="253"/>
      <c r="G226" s="270" t="s">
        <v>1534</v>
      </c>
      <c r="K226" s="19">
        <v>10500</v>
      </c>
      <c r="L226" s="270" t="s">
        <v>1939</v>
      </c>
    </row>
    <row r="227" spans="1:12" ht="21.75" customHeight="1" x14ac:dyDescent="0.25">
      <c r="A227" s="251">
        <v>1</v>
      </c>
      <c r="B227" s="19" t="s">
        <v>1891</v>
      </c>
      <c r="C227" s="253"/>
      <c r="G227" s="270" t="s">
        <v>1904</v>
      </c>
      <c r="K227" s="19">
        <v>8250</v>
      </c>
      <c r="L227" s="270" t="s">
        <v>1939</v>
      </c>
    </row>
    <row r="228" spans="1:12" ht="21.75" customHeight="1" x14ac:dyDescent="0.25">
      <c r="A228" s="280">
        <v>1</v>
      </c>
      <c r="B228" s="281" t="s">
        <v>1890</v>
      </c>
      <c r="C228" s="282"/>
      <c r="D228" s="283"/>
      <c r="E228" s="283"/>
      <c r="F228" s="283"/>
      <c r="G228" s="283" t="s">
        <v>1550</v>
      </c>
      <c r="H228" s="283"/>
      <c r="I228" s="283"/>
      <c r="J228" s="283"/>
      <c r="K228" s="281">
        <v>11200</v>
      </c>
      <c r="L228" s="270" t="s">
        <v>1939</v>
      </c>
    </row>
    <row r="229" spans="1:12" ht="21.75" customHeight="1" x14ac:dyDescent="0.25">
      <c r="A229" s="280">
        <v>1</v>
      </c>
      <c r="B229" s="281" t="s">
        <v>1889</v>
      </c>
      <c r="C229" s="282"/>
      <c r="D229" s="283"/>
      <c r="E229" s="283"/>
      <c r="F229" s="283"/>
      <c r="G229" s="283" t="s">
        <v>1538</v>
      </c>
      <c r="H229" s="283"/>
      <c r="I229" s="283"/>
      <c r="J229" s="283"/>
      <c r="K229" s="281">
        <v>11830</v>
      </c>
      <c r="L229" s="270" t="s">
        <v>1939</v>
      </c>
    </row>
    <row r="230" spans="1:12" ht="21.75" customHeight="1" x14ac:dyDescent="0.25">
      <c r="A230" s="280">
        <v>1</v>
      </c>
      <c r="B230" s="281" t="s">
        <v>1888</v>
      </c>
      <c r="C230" s="282"/>
      <c r="D230" s="283"/>
      <c r="E230" s="283"/>
      <c r="F230" s="283"/>
      <c r="G230" s="283" t="s">
        <v>1539</v>
      </c>
      <c r="H230" s="283"/>
      <c r="I230" s="283"/>
      <c r="J230" s="283"/>
      <c r="K230" s="281">
        <v>13300</v>
      </c>
      <c r="L230" s="270" t="s">
        <v>1939</v>
      </c>
    </row>
    <row r="231" spans="1:12" ht="21.75" customHeight="1" x14ac:dyDescent="0.25">
      <c r="A231" s="280">
        <v>1</v>
      </c>
      <c r="B231" s="281" t="s">
        <v>1887</v>
      </c>
      <c r="C231" s="282"/>
      <c r="D231" s="283"/>
      <c r="E231" s="283"/>
      <c r="F231" s="283"/>
      <c r="G231" s="283" t="s">
        <v>1540</v>
      </c>
      <c r="H231" s="283"/>
      <c r="I231" s="283"/>
      <c r="J231" s="283"/>
      <c r="K231" s="281">
        <v>12810</v>
      </c>
      <c r="L231" s="270" t="s">
        <v>1939</v>
      </c>
    </row>
    <row r="232" spans="1:12" ht="21.75" customHeight="1" x14ac:dyDescent="0.25">
      <c r="A232" s="280">
        <v>1</v>
      </c>
      <c r="B232" s="281" t="s">
        <v>1886</v>
      </c>
      <c r="C232" s="282"/>
      <c r="D232" s="283"/>
      <c r="E232" s="283"/>
      <c r="F232" s="283"/>
      <c r="G232" s="283" t="s">
        <v>1903</v>
      </c>
      <c r="H232" s="283"/>
      <c r="I232" s="283"/>
      <c r="J232" s="283"/>
      <c r="K232" s="281">
        <v>9750</v>
      </c>
      <c r="L232" s="270" t="s">
        <v>1939</v>
      </c>
    </row>
    <row r="233" spans="1:12" ht="21.75" customHeight="1" x14ac:dyDescent="0.25">
      <c r="A233" s="280">
        <v>1</v>
      </c>
      <c r="B233" s="281" t="s">
        <v>1885</v>
      </c>
      <c r="C233" s="282"/>
      <c r="D233" s="283"/>
      <c r="E233" s="283"/>
      <c r="F233" s="283"/>
      <c r="G233" s="283" t="s">
        <v>1552</v>
      </c>
      <c r="H233" s="283"/>
      <c r="I233" s="283"/>
      <c r="J233" s="283"/>
      <c r="K233" s="281">
        <v>13090</v>
      </c>
      <c r="L233" s="270" t="s">
        <v>1939</v>
      </c>
    </row>
    <row r="234" spans="1:12" ht="21.75" customHeight="1" x14ac:dyDescent="0.25">
      <c r="A234" s="280">
        <v>1</v>
      </c>
      <c r="B234" s="281" t="s">
        <v>1884</v>
      </c>
      <c r="C234" s="282"/>
      <c r="D234" s="283"/>
      <c r="E234" s="283"/>
      <c r="F234" s="283"/>
      <c r="G234" s="283" t="s">
        <v>1544</v>
      </c>
      <c r="H234" s="283"/>
      <c r="I234" s="283"/>
      <c r="J234" s="283"/>
      <c r="K234" s="281">
        <v>19320</v>
      </c>
      <c r="L234" s="270" t="s">
        <v>1939</v>
      </c>
    </row>
    <row r="235" spans="1:12" ht="21.75" customHeight="1" x14ac:dyDescent="0.25">
      <c r="A235" s="280">
        <v>1</v>
      </c>
      <c r="B235" s="281" t="s">
        <v>1883</v>
      </c>
      <c r="C235" s="282"/>
      <c r="D235" s="283"/>
      <c r="E235" s="283"/>
      <c r="F235" s="283"/>
      <c r="G235" s="283" t="s">
        <v>1545</v>
      </c>
      <c r="H235" s="283"/>
      <c r="I235" s="283"/>
      <c r="J235" s="283"/>
      <c r="K235" s="281">
        <v>20790</v>
      </c>
      <c r="L235" s="270" t="s">
        <v>1939</v>
      </c>
    </row>
    <row r="236" spans="1:12" ht="21.75" customHeight="1" x14ac:dyDescent="0.25">
      <c r="A236" s="280">
        <v>1</v>
      </c>
      <c r="B236" s="281" t="s">
        <v>1882</v>
      </c>
      <c r="C236" s="282"/>
      <c r="D236" s="283"/>
      <c r="E236" s="283"/>
      <c r="F236" s="283"/>
      <c r="G236" s="283" t="s">
        <v>1546</v>
      </c>
      <c r="H236" s="283"/>
      <c r="I236" s="283"/>
      <c r="J236" s="283"/>
      <c r="K236" s="281">
        <v>20650</v>
      </c>
      <c r="L236" s="270" t="s">
        <v>1939</v>
      </c>
    </row>
    <row r="237" spans="1:12" ht="21.75" customHeight="1" x14ac:dyDescent="0.25">
      <c r="A237" s="280">
        <v>1</v>
      </c>
      <c r="B237" s="281" t="s">
        <v>1881</v>
      </c>
      <c r="C237" s="282"/>
      <c r="D237" s="283"/>
      <c r="E237" s="283"/>
      <c r="F237" s="283"/>
      <c r="G237" s="283" t="s">
        <v>1902</v>
      </c>
      <c r="H237" s="283"/>
      <c r="I237" s="283"/>
      <c r="J237" s="283"/>
      <c r="K237" s="281">
        <v>15345</v>
      </c>
      <c r="L237" s="270" t="s">
        <v>1939</v>
      </c>
    </row>
    <row r="238" spans="1:12" ht="21.75" customHeight="1" x14ac:dyDescent="0.25">
      <c r="A238" s="280">
        <v>1</v>
      </c>
      <c r="B238" s="281" t="s">
        <v>1880</v>
      </c>
      <c r="C238" s="282"/>
      <c r="D238" s="283"/>
      <c r="E238" s="283"/>
      <c r="F238" s="283"/>
      <c r="G238" s="283" t="s">
        <v>1554</v>
      </c>
      <c r="H238" s="283"/>
      <c r="I238" s="283"/>
      <c r="J238" s="283"/>
      <c r="K238" s="281">
        <v>20860</v>
      </c>
      <c r="L238" s="270" t="s">
        <v>1939</v>
      </c>
    </row>
    <row r="239" spans="1:12" ht="21.75" customHeight="1" x14ac:dyDescent="0.25">
      <c r="A239" s="280">
        <v>1</v>
      </c>
      <c r="B239" s="281" t="s">
        <v>1879</v>
      </c>
      <c r="C239" s="282"/>
      <c r="D239" s="283"/>
      <c r="E239" s="283"/>
      <c r="F239" s="283"/>
      <c r="G239" s="283" t="s">
        <v>1564</v>
      </c>
      <c r="H239" s="283"/>
      <c r="I239" s="283"/>
      <c r="J239" s="283"/>
      <c r="K239" s="281">
        <v>15557</v>
      </c>
      <c r="L239" s="270" t="s">
        <v>1939</v>
      </c>
    </row>
    <row r="240" spans="1:12" ht="21.75" customHeight="1" x14ac:dyDescent="0.25">
      <c r="A240" s="280">
        <v>1</v>
      </c>
      <c r="B240" s="281" t="s">
        <v>1878</v>
      </c>
      <c r="C240" s="282"/>
      <c r="D240" s="283"/>
      <c r="E240" s="283"/>
      <c r="F240" s="283"/>
      <c r="G240" s="283" t="s">
        <v>1568</v>
      </c>
      <c r="H240" s="283"/>
      <c r="I240" s="283"/>
      <c r="J240" s="283"/>
      <c r="K240" s="281">
        <v>17867</v>
      </c>
      <c r="L240" s="270" t="s">
        <v>1939</v>
      </c>
    </row>
    <row r="241" spans="1:12" ht="21.75" customHeight="1" x14ac:dyDescent="0.25">
      <c r="A241" s="280">
        <v>1</v>
      </c>
      <c r="B241" s="281" t="s">
        <v>1877</v>
      </c>
      <c r="C241" s="282"/>
      <c r="D241" s="283"/>
      <c r="E241" s="283"/>
      <c r="F241" s="283"/>
      <c r="G241" s="283" t="s">
        <v>1630</v>
      </c>
      <c r="H241" s="283"/>
      <c r="I241" s="283"/>
      <c r="J241" s="283"/>
      <c r="K241" s="281">
        <v>20363</v>
      </c>
      <c r="L241" s="270" t="s">
        <v>1939</v>
      </c>
    </row>
    <row r="242" spans="1:12" ht="21.75" customHeight="1" x14ac:dyDescent="0.25">
      <c r="A242" s="251">
        <v>1</v>
      </c>
      <c r="B242" s="25" t="s">
        <v>1876</v>
      </c>
      <c r="C242" s="253"/>
      <c r="G242" s="270" t="s">
        <v>1572</v>
      </c>
      <c r="K242" s="25">
        <v>18167</v>
      </c>
      <c r="L242" s="270" t="s">
        <v>1939</v>
      </c>
    </row>
    <row r="243" spans="1:12" ht="21.75" customHeight="1" x14ac:dyDescent="0.25">
      <c r="A243" s="251">
        <v>1</v>
      </c>
      <c r="B243" s="25" t="s">
        <v>1875</v>
      </c>
      <c r="C243" s="253"/>
      <c r="G243" s="270" t="s">
        <v>1576</v>
      </c>
      <c r="K243" s="25">
        <v>20493</v>
      </c>
      <c r="L243" s="270" t="s">
        <v>1939</v>
      </c>
    </row>
    <row r="244" spans="1:12" ht="21.75" customHeight="1" x14ac:dyDescent="0.25">
      <c r="A244" s="251">
        <v>1</v>
      </c>
      <c r="B244" s="25" t="s">
        <v>1874</v>
      </c>
      <c r="C244" s="253"/>
      <c r="G244" s="270" t="s">
        <v>1634</v>
      </c>
      <c r="K244" s="25">
        <v>23016</v>
      </c>
      <c r="L244" s="270" t="s">
        <v>1939</v>
      </c>
    </row>
    <row r="245" spans="1:12" ht="21.75" customHeight="1" x14ac:dyDescent="0.25">
      <c r="A245" s="251">
        <v>1</v>
      </c>
      <c r="B245" s="25" t="s">
        <v>1873</v>
      </c>
      <c r="C245" s="253"/>
      <c r="G245" s="270" t="s">
        <v>1580</v>
      </c>
      <c r="K245" s="25">
        <v>19109</v>
      </c>
      <c r="L245" s="270" t="s">
        <v>1939</v>
      </c>
    </row>
    <row r="246" spans="1:12" ht="21.75" customHeight="1" x14ac:dyDescent="0.25">
      <c r="A246" s="251">
        <v>1</v>
      </c>
      <c r="B246" s="202" t="s">
        <v>1872</v>
      </c>
      <c r="C246" s="253"/>
      <c r="G246" s="270" t="s">
        <v>1584</v>
      </c>
      <c r="K246" s="202">
        <v>21447</v>
      </c>
      <c r="L246" s="270" t="s">
        <v>1939</v>
      </c>
    </row>
    <row r="247" spans="1:12" ht="21.75" customHeight="1" x14ac:dyDescent="0.25">
      <c r="A247" s="251">
        <v>1</v>
      </c>
      <c r="B247" s="25" t="s">
        <v>1871</v>
      </c>
      <c r="C247" s="253"/>
      <c r="G247" s="270" t="s">
        <v>1638</v>
      </c>
      <c r="K247" s="25">
        <v>24317</v>
      </c>
      <c r="L247" s="270" t="s">
        <v>1939</v>
      </c>
    </row>
    <row r="248" spans="1:12" ht="21.75" customHeight="1" x14ac:dyDescent="0.25">
      <c r="A248" s="251">
        <v>1</v>
      </c>
      <c r="B248" s="25" t="s">
        <v>1870</v>
      </c>
      <c r="C248" s="253"/>
      <c r="G248" s="270" t="s">
        <v>1589</v>
      </c>
      <c r="K248" s="25">
        <v>20775</v>
      </c>
      <c r="L248" s="270" t="s">
        <v>1939</v>
      </c>
    </row>
    <row r="249" spans="1:12" ht="21.75" customHeight="1" x14ac:dyDescent="0.25">
      <c r="A249" s="251">
        <v>1</v>
      </c>
      <c r="B249" s="25" t="s">
        <v>1869</v>
      </c>
      <c r="C249" s="253"/>
      <c r="G249" s="270" t="s">
        <v>1593</v>
      </c>
      <c r="K249" s="25">
        <v>23111</v>
      </c>
      <c r="L249" s="270" t="s">
        <v>1939</v>
      </c>
    </row>
    <row r="250" spans="1:12" ht="21.75" customHeight="1" x14ac:dyDescent="0.25">
      <c r="A250" s="251">
        <v>1</v>
      </c>
      <c r="B250" s="19" t="s">
        <v>1868</v>
      </c>
      <c r="C250" s="253"/>
      <c r="G250" s="270" t="s">
        <v>1643</v>
      </c>
      <c r="K250" s="19">
        <v>26167</v>
      </c>
      <c r="L250" s="270" t="s">
        <v>1939</v>
      </c>
    </row>
    <row r="251" spans="1:12" ht="21.75" customHeight="1" x14ac:dyDescent="0.25">
      <c r="A251" s="251">
        <v>1</v>
      </c>
      <c r="B251" s="19" t="s">
        <v>1867</v>
      </c>
      <c r="C251" s="253"/>
      <c r="G251" s="270" t="s">
        <v>1604</v>
      </c>
      <c r="K251" s="19">
        <v>38674</v>
      </c>
      <c r="L251" s="270" t="s">
        <v>1939</v>
      </c>
    </row>
    <row r="252" spans="1:12" ht="21.75" customHeight="1" x14ac:dyDescent="0.25">
      <c r="A252" s="251">
        <v>1</v>
      </c>
      <c r="B252" s="19" t="s">
        <v>1866</v>
      </c>
      <c r="C252" s="253"/>
      <c r="G252" s="270" t="s">
        <v>1608</v>
      </c>
      <c r="K252" s="19">
        <v>43980</v>
      </c>
      <c r="L252" s="270" t="s">
        <v>1939</v>
      </c>
    </row>
    <row r="253" spans="1:12" ht="21.75" customHeight="1" x14ac:dyDescent="0.25">
      <c r="A253" s="251">
        <v>1</v>
      </c>
      <c r="B253" s="202" t="s">
        <v>1865</v>
      </c>
      <c r="C253" s="253"/>
      <c r="G253" s="270" t="s">
        <v>1653</v>
      </c>
      <c r="K253" s="202">
        <v>51574</v>
      </c>
      <c r="L253" s="270" t="s">
        <v>1939</v>
      </c>
    </row>
    <row r="254" spans="1:12" ht="21.75" customHeight="1" x14ac:dyDescent="0.25">
      <c r="A254" s="251">
        <v>1</v>
      </c>
      <c r="B254" s="202" t="s">
        <v>1864</v>
      </c>
      <c r="C254" s="253"/>
      <c r="G254" s="270" t="s">
        <v>1612</v>
      </c>
      <c r="K254" s="202">
        <v>67855</v>
      </c>
      <c r="L254" s="270" t="s">
        <v>1939</v>
      </c>
    </row>
    <row r="255" spans="1:12" ht="21.75" customHeight="1" x14ac:dyDescent="0.25">
      <c r="A255" s="251">
        <v>1</v>
      </c>
      <c r="B255" s="19" t="s">
        <v>1863</v>
      </c>
      <c r="C255" s="253"/>
      <c r="G255" s="270" t="s">
        <v>1658</v>
      </c>
      <c r="K255" s="19">
        <v>77902</v>
      </c>
      <c r="L255" s="270" t="s">
        <v>1939</v>
      </c>
    </row>
    <row r="256" spans="1:12" ht="21.75" customHeight="1" x14ac:dyDescent="0.25">
      <c r="A256" s="251">
        <v>1</v>
      </c>
      <c r="B256" s="19" t="s">
        <v>1862</v>
      </c>
      <c r="C256" s="253"/>
      <c r="G256" s="270" t="s">
        <v>2249</v>
      </c>
      <c r="K256" s="19">
        <v>96250</v>
      </c>
      <c r="L256" s="270" t="s">
        <v>1939</v>
      </c>
    </row>
    <row r="257" spans="1:12" ht="21.75" customHeight="1" x14ac:dyDescent="0.25">
      <c r="A257" s="251">
        <v>1</v>
      </c>
      <c r="B257" s="19" t="s">
        <v>1861</v>
      </c>
      <c r="C257" s="253"/>
      <c r="G257" s="270" t="s">
        <v>2250</v>
      </c>
      <c r="K257" s="19">
        <v>130640</v>
      </c>
      <c r="L257" s="270" t="s">
        <v>1939</v>
      </c>
    </row>
    <row r="258" spans="1:12" ht="21.75" customHeight="1" x14ac:dyDescent="0.25">
      <c r="A258" s="251">
        <v>1</v>
      </c>
      <c r="B258" s="267" t="s">
        <v>1860</v>
      </c>
      <c r="C258" s="253"/>
      <c r="G258" s="270" t="s">
        <v>2251</v>
      </c>
      <c r="K258" s="267">
        <v>153840</v>
      </c>
      <c r="L258" s="270" t="s">
        <v>1939</v>
      </c>
    </row>
    <row r="259" spans="1:12" ht="21.75" customHeight="1" x14ac:dyDescent="0.25">
      <c r="A259" s="251">
        <v>1</v>
      </c>
      <c r="B259" s="267" t="s">
        <v>1859</v>
      </c>
      <c r="C259" s="253"/>
      <c r="G259" s="270" t="s">
        <v>2252</v>
      </c>
      <c r="K259" s="267">
        <v>169060</v>
      </c>
      <c r="L259" s="270" t="s">
        <v>1939</v>
      </c>
    </row>
    <row r="260" spans="1:12" ht="21.75" customHeight="1" x14ac:dyDescent="0.25">
      <c r="A260" s="251">
        <v>1</v>
      </c>
      <c r="B260" s="267" t="s">
        <v>1858</v>
      </c>
      <c r="C260" s="253"/>
      <c r="G260" s="270" t="s">
        <v>2253</v>
      </c>
      <c r="K260" s="267">
        <v>369800</v>
      </c>
      <c r="L260" s="270" t="s">
        <v>1939</v>
      </c>
    </row>
    <row r="261" spans="1:12" ht="21.75" customHeight="1" x14ac:dyDescent="0.25">
      <c r="A261" s="251">
        <v>1</v>
      </c>
      <c r="B261" s="267" t="s">
        <v>2254</v>
      </c>
      <c r="C261" s="253"/>
      <c r="G261" s="270" t="s">
        <v>1215</v>
      </c>
      <c r="K261" s="267">
        <v>6326</v>
      </c>
      <c r="L261" s="270" t="s">
        <v>1939</v>
      </c>
    </row>
    <row r="262" spans="1:12" ht="21.75" customHeight="1" x14ac:dyDescent="0.25">
      <c r="A262" s="251">
        <v>1</v>
      </c>
      <c r="B262" s="267" t="s">
        <v>2255</v>
      </c>
      <c r="C262" s="253"/>
      <c r="G262" s="270" t="s">
        <v>2256</v>
      </c>
      <c r="K262" s="267">
        <v>34440</v>
      </c>
      <c r="L262" s="270" t="s">
        <v>1939</v>
      </c>
    </row>
    <row r="263" spans="1:12" ht="21.75" customHeight="1" x14ac:dyDescent="0.25">
      <c r="A263" s="251">
        <v>1</v>
      </c>
      <c r="B263" s="267" t="s">
        <v>2257</v>
      </c>
      <c r="C263" s="253"/>
      <c r="G263" s="270" t="s">
        <v>2258</v>
      </c>
      <c r="K263" s="267">
        <v>43080</v>
      </c>
      <c r="L263" s="270" t="s">
        <v>1939</v>
      </c>
    </row>
    <row r="264" spans="1:12" ht="21.75" customHeight="1" x14ac:dyDescent="0.25">
      <c r="A264" s="251">
        <v>1</v>
      </c>
      <c r="B264" s="267" t="s">
        <v>2259</v>
      </c>
      <c r="C264" s="253"/>
      <c r="G264" s="270" t="s">
        <v>2260</v>
      </c>
      <c r="K264" s="267">
        <v>43920</v>
      </c>
      <c r="L264" s="270" t="s">
        <v>1939</v>
      </c>
    </row>
    <row r="265" spans="1:12" ht="21.75" customHeight="1" x14ac:dyDescent="0.25">
      <c r="A265" s="251">
        <v>1</v>
      </c>
      <c r="B265" s="267" t="s">
        <v>2261</v>
      </c>
      <c r="C265" s="253"/>
      <c r="G265" s="270" t="s">
        <v>2262</v>
      </c>
      <c r="K265" s="267">
        <v>48720</v>
      </c>
      <c r="L265" s="270" t="s">
        <v>1939</v>
      </c>
    </row>
    <row r="266" spans="1:12" ht="21.75" customHeight="1" x14ac:dyDescent="0.25">
      <c r="A266" s="251">
        <v>1</v>
      </c>
      <c r="B266" s="267" t="s">
        <v>2263</v>
      </c>
      <c r="C266" s="253"/>
      <c r="G266" s="270" t="s">
        <v>2264</v>
      </c>
      <c r="K266" s="267">
        <v>55800</v>
      </c>
      <c r="L266" s="270" t="s">
        <v>1939</v>
      </c>
    </row>
    <row r="267" spans="1:12" ht="21.75" customHeight="1" x14ac:dyDescent="0.25">
      <c r="A267" s="251">
        <v>1</v>
      </c>
      <c r="B267" s="267" t="s">
        <v>2265</v>
      </c>
      <c r="C267" s="253"/>
      <c r="G267" s="270" t="s">
        <v>2266</v>
      </c>
      <c r="K267" s="267">
        <v>58680</v>
      </c>
      <c r="L267" s="270" t="s">
        <v>1939</v>
      </c>
    </row>
    <row r="268" spans="1:12" ht="21.75" customHeight="1" x14ac:dyDescent="0.25">
      <c r="A268" s="251">
        <v>1</v>
      </c>
      <c r="B268" s="267" t="s">
        <v>2267</v>
      </c>
      <c r="C268" s="253"/>
      <c r="G268" s="270" t="s">
        <v>2268</v>
      </c>
      <c r="K268" s="267">
        <v>64560</v>
      </c>
      <c r="L268" s="270" t="s">
        <v>1939</v>
      </c>
    </row>
    <row r="269" spans="1:12" ht="21.75" customHeight="1" x14ac:dyDescent="0.25">
      <c r="A269" s="251">
        <v>1</v>
      </c>
      <c r="B269" s="267" t="s">
        <v>2269</v>
      </c>
      <c r="C269" s="253"/>
      <c r="G269" s="270" t="s">
        <v>2270</v>
      </c>
      <c r="K269" s="267">
        <v>69840</v>
      </c>
      <c r="L269" s="270" t="s">
        <v>1939</v>
      </c>
    </row>
    <row r="270" spans="1:12" ht="21.75" customHeight="1" x14ac:dyDescent="0.25">
      <c r="A270" s="251">
        <v>1</v>
      </c>
      <c r="B270" s="267" t="s">
        <v>2271</v>
      </c>
      <c r="C270" s="253"/>
      <c r="G270" s="270" t="s">
        <v>2272</v>
      </c>
      <c r="K270" s="267">
        <v>81120</v>
      </c>
      <c r="L270" s="270" t="s">
        <v>1939</v>
      </c>
    </row>
    <row r="271" spans="1:12" ht="21.75" customHeight="1" x14ac:dyDescent="0.25">
      <c r="A271" s="251">
        <v>1</v>
      </c>
      <c r="B271" s="267" t="s">
        <v>2273</v>
      </c>
      <c r="C271" s="253"/>
      <c r="G271" s="270" t="s">
        <v>2274</v>
      </c>
      <c r="K271" s="267">
        <v>104400</v>
      </c>
      <c r="L271" s="270" t="s">
        <v>1939</v>
      </c>
    </row>
    <row r="272" spans="1:12" ht="21.75" customHeight="1" x14ac:dyDescent="0.25">
      <c r="A272" s="251">
        <v>1</v>
      </c>
      <c r="B272" s="290" t="s">
        <v>2275</v>
      </c>
      <c r="C272" s="253"/>
      <c r="G272" s="270" t="s">
        <v>2276</v>
      </c>
      <c r="K272" s="290">
        <v>48240</v>
      </c>
      <c r="L272" s="270" t="s">
        <v>1939</v>
      </c>
    </row>
    <row r="273" spans="1:12" ht="21.75" customHeight="1" x14ac:dyDescent="0.25">
      <c r="A273" s="251">
        <v>1</v>
      </c>
      <c r="B273" s="290" t="s">
        <v>2277</v>
      </c>
      <c r="C273" s="253"/>
      <c r="G273" s="270" t="s">
        <v>2278</v>
      </c>
      <c r="K273" s="290">
        <v>64680</v>
      </c>
      <c r="L273" s="270" t="s">
        <v>1939</v>
      </c>
    </row>
    <row r="274" spans="1:12" ht="21.75" customHeight="1" x14ac:dyDescent="0.25">
      <c r="A274" s="251">
        <v>1</v>
      </c>
      <c r="B274" s="290" t="s">
        <v>2279</v>
      </c>
      <c r="C274" s="253"/>
      <c r="G274" s="270" t="s">
        <v>2280</v>
      </c>
      <c r="K274" s="290">
        <v>69240</v>
      </c>
      <c r="L274" s="270" t="s">
        <v>1939</v>
      </c>
    </row>
    <row r="275" spans="1:12" ht="21.75" customHeight="1" x14ac:dyDescent="0.25">
      <c r="A275" s="251">
        <v>1</v>
      </c>
      <c r="B275" s="290" t="s">
        <v>2281</v>
      </c>
      <c r="C275" s="253"/>
      <c r="G275" s="270" t="s">
        <v>2282</v>
      </c>
      <c r="K275" s="290">
        <v>73800</v>
      </c>
      <c r="L275" s="270" t="s">
        <v>1939</v>
      </c>
    </row>
    <row r="276" spans="1:12" ht="21.75" customHeight="1" x14ac:dyDescent="0.25">
      <c r="A276" s="251">
        <v>1</v>
      </c>
      <c r="B276" s="290" t="s">
        <v>2283</v>
      </c>
      <c r="C276" s="253"/>
      <c r="G276" s="270" t="s">
        <v>2284</v>
      </c>
      <c r="K276" s="290">
        <v>195840</v>
      </c>
      <c r="L276" s="270" t="s">
        <v>1939</v>
      </c>
    </row>
    <row r="277" spans="1:12" ht="21.75" customHeight="1" x14ac:dyDescent="0.25">
      <c r="A277" s="251">
        <v>1</v>
      </c>
      <c r="B277" s="290" t="s">
        <v>2285</v>
      </c>
      <c r="C277" s="253"/>
      <c r="G277" s="270" t="s">
        <v>2286</v>
      </c>
      <c r="K277" s="290">
        <v>60360</v>
      </c>
      <c r="L277" s="270" t="s">
        <v>1939</v>
      </c>
    </row>
    <row r="278" spans="1:12" ht="21.75" customHeight="1" x14ac:dyDescent="0.25">
      <c r="A278" s="251">
        <v>1</v>
      </c>
      <c r="B278" s="290" t="s">
        <v>2287</v>
      </c>
      <c r="C278" s="253"/>
      <c r="G278" s="270" t="s">
        <v>2288</v>
      </c>
      <c r="K278" s="290">
        <v>63960</v>
      </c>
      <c r="L278" s="270" t="s">
        <v>1939</v>
      </c>
    </row>
    <row r="279" spans="1:12" ht="21.75" customHeight="1" x14ac:dyDescent="0.25">
      <c r="A279" s="251">
        <v>1</v>
      </c>
      <c r="B279" s="290" t="s">
        <v>2289</v>
      </c>
      <c r="C279" s="253"/>
      <c r="G279" s="270" t="s">
        <v>2290</v>
      </c>
      <c r="K279" s="290">
        <v>64920</v>
      </c>
      <c r="L279" s="270" t="s">
        <v>1939</v>
      </c>
    </row>
    <row r="280" spans="1:12" ht="21.75" customHeight="1" x14ac:dyDescent="0.25">
      <c r="A280" s="251">
        <v>1</v>
      </c>
      <c r="B280" s="290" t="s">
        <v>2291</v>
      </c>
      <c r="C280" s="253"/>
      <c r="G280" s="270" t="s">
        <v>2292</v>
      </c>
      <c r="K280" s="290">
        <v>69480</v>
      </c>
      <c r="L280" s="270" t="s">
        <v>1939</v>
      </c>
    </row>
    <row r="281" spans="1:12" ht="21.75" customHeight="1" x14ac:dyDescent="0.25">
      <c r="A281" s="251">
        <v>1</v>
      </c>
      <c r="B281" s="290" t="s">
        <v>2293</v>
      </c>
      <c r="C281" s="253"/>
      <c r="G281" s="270" t="s">
        <v>2294</v>
      </c>
      <c r="K281" s="290">
        <v>71280</v>
      </c>
      <c r="L281" s="270" t="s">
        <v>1939</v>
      </c>
    </row>
    <row r="282" spans="1:12" ht="21.75" customHeight="1" x14ac:dyDescent="0.25">
      <c r="A282" s="251">
        <v>1</v>
      </c>
      <c r="B282" s="290" t="s">
        <v>2295</v>
      </c>
      <c r="C282" s="253"/>
      <c r="G282" s="270" t="s">
        <v>2296</v>
      </c>
      <c r="K282" s="290">
        <v>80880</v>
      </c>
      <c r="L282" s="270" t="s">
        <v>1939</v>
      </c>
    </row>
    <row r="283" spans="1:12" ht="21.75" customHeight="1" x14ac:dyDescent="0.25">
      <c r="A283" s="251">
        <v>1</v>
      </c>
      <c r="B283" s="290" t="s">
        <v>2297</v>
      </c>
      <c r="C283" s="253"/>
      <c r="G283" s="270" t="s">
        <v>2298</v>
      </c>
      <c r="K283" s="290">
        <v>90000</v>
      </c>
      <c r="L283" s="270" t="s">
        <v>1939</v>
      </c>
    </row>
    <row r="284" spans="1:12" ht="21.75" customHeight="1" x14ac:dyDescent="0.25">
      <c r="A284" s="251">
        <v>1</v>
      </c>
      <c r="B284" s="290" t="s">
        <v>2299</v>
      </c>
      <c r="C284" s="253"/>
      <c r="G284" s="270" t="s">
        <v>2300</v>
      </c>
      <c r="K284" s="290">
        <v>103320</v>
      </c>
      <c r="L284" s="270" t="s">
        <v>1939</v>
      </c>
    </row>
    <row r="285" spans="1:12" ht="21.75" customHeight="1" x14ac:dyDescent="0.25">
      <c r="A285" s="251">
        <v>1</v>
      </c>
      <c r="B285" s="290" t="s">
        <v>2301</v>
      </c>
      <c r="C285" s="253"/>
      <c r="G285" s="270" t="s">
        <v>2302</v>
      </c>
      <c r="K285" s="290">
        <v>140280</v>
      </c>
      <c r="L285" s="270" t="s">
        <v>1939</v>
      </c>
    </row>
    <row r="286" spans="1:12" ht="21.75" customHeight="1" x14ac:dyDescent="0.25">
      <c r="A286" s="251">
        <v>1</v>
      </c>
      <c r="B286" s="290" t="s">
        <v>2303</v>
      </c>
      <c r="C286" s="253"/>
      <c r="G286" s="270" t="s">
        <v>2304</v>
      </c>
      <c r="K286" s="290">
        <v>254640</v>
      </c>
      <c r="L286" s="270" t="s">
        <v>1939</v>
      </c>
    </row>
    <row r="287" spans="1:12" ht="21.75" customHeight="1" x14ac:dyDescent="0.25">
      <c r="A287" s="251">
        <v>1</v>
      </c>
      <c r="B287" s="267" t="s">
        <v>2305</v>
      </c>
      <c r="C287" s="253"/>
      <c r="G287" s="270" t="s">
        <v>2306</v>
      </c>
      <c r="K287" s="267">
        <v>12480</v>
      </c>
      <c r="L287" s="270" t="s">
        <v>1939</v>
      </c>
    </row>
    <row r="288" spans="1:12" ht="21.75" customHeight="1" x14ac:dyDescent="0.25">
      <c r="A288" s="251">
        <v>1</v>
      </c>
      <c r="B288" s="290" t="s">
        <v>2307</v>
      </c>
      <c r="C288" s="253"/>
      <c r="G288" s="270" t="s">
        <v>2308</v>
      </c>
      <c r="K288" s="290">
        <v>29640</v>
      </c>
      <c r="L288" s="270" t="s">
        <v>1939</v>
      </c>
    </row>
    <row r="289" spans="1:12" ht="21.75" customHeight="1" x14ac:dyDescent="0.25">
      <c r="A289" s="251">
        <v>1</v>
      </c>
      <c r="B289" s="290" t="s">
        <v>2309</v>
      </c>
      <c r="C289" s="253"/>
      <c r="G289" s="270" t="s">
        <v>2310</v>
      </c>
      <c r="K289" s="290">
        <v>3240</v>
      </c>
      <c r="L289" s="270" t="s">
        <v>1939</v>
      </c>
    </row>
    <row r="290" spans="1:12" ht="21.75" customHeight="1" x14ac:dyDescent="0.25">
      <c r="A290" s="251">
        <v>1</v>
      </c>
      <c r="B290" s="290" t="s">
        <v>2311</v>
      </c>
      <c r="C290" s="253"/>
      <c r="G290" s="270" t="s">
        <v>1311</v>
      </c>
      <c r="K290" s="290">
        <v>23771</v>
      </c>
      <c r="L290" s="270" t="s">
        <v>1939</v>
      </c>
    </row>
    <row r="291" spans="1:12" ht="21.75" customHeight="1" x14ac:dyDescent="0.25">
      <c r="A291" s="251">
        <v>1</v>
      </c>
      <c r="B291" s="290" t="s">
        <v>1857</v>
      </c>
      <c r="C291" s="253"/>
      <c r="G291" s="270" t="s">
        <v>1558</v>
      </c>
      <c r="K291" s="290">
        <v>18340</v>
      </c>
      <c r="L291" s="270" t="s">
        <v>1939</v>
      </c>
    </row>
    <row r="292" spans="1:12" ht="21.75" customHeight="1" x14ac:dyDescent="0.25">
      <c r="A292" s="251">
        <v>1</v>
      </c>
      <c r="B292" s="290" t="s">
        <v>2312</v>
      </c>
      <c r="C292" s="253"/>
      <c r="G292" s="270" t="s">
        <v>1238</v>
      </c>
      <c r="K292" s="290">
        <v>7317</v>
      </c>
      <c r="L292" s="270" t="s">
        <v>1939</v>
      </c>
    </row>
    <row r="293" spans="1:12" ht="21.75" customHeight="1" x14ac:dyDescent="0.25">
      <c r="A293" s="251">
        <v>1</v>
      </c>
      <c r="B293" s="290" t="s">
        <v>2313</v>
      </c>
      <c r="C293" s="253"/>
      <c r="G293" s="270" t="s">
        <v>2314</v>
      </c>
      <c r="K293" s="290">
        <v>3228</v>
      </c>
      <c r="L293" s="270" t="s">
        <v>1939</v>
      </c>
    </row>
    <row r="294" spans="1:12" ht="21.75" customHeight="1" x14ac:dyDescent="0.25">
      <c r="A294" s="251">
        <v>1</v>
      </c>
      <c r="B294" s="290" t="s">
        <v>2315</v>
      </c>
      <c r="C294" s="253"/>
      <c r="G294" s="270" t="s">
        <v>2316</v>
      </c>
      <c r="K294" s="290">
        <v>2556</v>
      </c>
      <c r="L294" s="270" t="s">
        <v>1939</v>
      </c>
    </row>
    <row r="295" spans="1:12" ht="21.75" customHeight="1" x14ac:dyDescent="0.25">
      <c r="A295" s="251">
        <v>1</v>
      </c>
      <c r="B295" s="290" t="s">
        <v>2317</v>
      </c>
      <c r="C295" s="253"/>
      <c r="G295" s="270" t="s">
        <v>2318</v>
      </c>
      <c r="K295" s="290">
        <v>3504</v>
      </c>
      <c r="L295" s="270" t="s">
        <v>1939</v>
      </c>
    </row>
    <row r="296" spans="1:12" ht="21.75" customHeight="1" x14ac:dyDescent="0.25">
      <c r="A296" s="251">
        <v>1</v>
      </c>
      <c r="B296" s="290" t="s">
        <v>2319</v>
      </c>
      <c r="C296" s="253"/>
      <c r="G296" s="270" t="s">
        <v>2320</v>
      </c>
      <c r="K296" s="290">
        <v>3480</v>
      </c>
      <c r="L296" s="270" t="s">
        <v>1939</v>
      </c>
    </row>
    <row r="297" spans="1:12" ht="21.75" customHeight="1" x14ac:dyDescent="0.25">
      <c r="A297" s="251">
        <v>1</v>
      </c>
      <c r="B297" s="290" t="s">
        <v>2321</v>
      </c>
      <c r="C297" s="253"/>
      <c r="G297" s="270" t="s">
        <v>2322</v>
      </c>
      <c r="K297" s="290">
        <v>1560</v>
      </c>
      <c r="L297" s="270" t="s">
        <v>1939</v>
      </c>
    </row>
    <row r="298" spans="1:12" ht="21.75" customHeight="1" x14ac:dyDescent="0.25">
      <c r="A298" s="251">
        <v>1</v>
      </c>
      <c r="B298" s="290" t="s">
        <v>2323</v>
      </c>
      <c r="C298" s="253"/>
      <c r="G298" s="270" t="s">
        <v>1217</v>
      </c>
      <c r="K298" s="290">
        <v>11500</v>
      </c>
      <c r="L298" s="270" t="s">
        <v>1939</v>
      </c>
    </row>
    <row r="299" spans="1:12" ht="21.75" customHeight="1" x14ac:dyDescent="0.25">
      <c r="A299" s="251">
        <v>1</v>
      </c>
      <c r="B299" s="290" t="s">
        <v>2324</v>
      </c>
      <c r="C299" s="253"/>
      <c r="G299" s="270" t="s">
        <v>1240</v>
      </c>
      <c r="K299" s="290">
        <v>13316</v>
      </c>
      <c r="L299" s="270" t="s">
        <v>1939</v>
      </c>
    </row>
    <row r="300" spans="1:12" ht="21.75" customHeight="1" x14ac:dyDescent="0.25">
      <c r="A300" s="251">
        <v>1</v>
      </c>
      <c r="B300" s="290" t="s">
        <v>2325</v>
      </c>
      <c r="C300" s="253"/>
      <c r="G300" s="270" t="s">
        <v>1259</v>
      </c>
      <c r="K300" s="290">
        <v>10354</v>
      </c>
      <c r="L300" s="270" t="s">
        <v>1939</v>
      </c>
    </row>
    <row r="301" spans="1:12" ht="21.75" customHeight="1" x14ac:dyDescent="0.25">
      <c r="A301" s="251">
        <v>1</v>
      </c>
      <c r="B301" s="290" t="s">
        <v>2326</v>
      </c>
      <c r="C301" s="253"/>
      <c r="G301" s="270" t="s">
        <v>1309</v>
      </c>
      <c r="K301" s="290">
        <v>15068</v>
      </c>
      <c r="L301" s="270" t="s">
        <v>1939</v>
      </c>
    </row>
    <row r="302" spans="1:12" ht="21.75" customHeight="1" x14ac:dyDescent="0.25">
      <c r="A302" s="251">
        <v>1</v>
      </c>
      <c r="B302" s="290" t="s">
        <v>2327</v>
      </c>
      <c r="C302" s="253"/>
      <c r="G302" s="270" t="s">
        <v>1313</v>
      </c>
      <c r="K302" s="290">
        <v>23428</v>
      </c>
      <c r="L302" s="270" t="s">
        <v>1939</v>
      </c>
    </row>
    <row r="303" spans="1:12" ht="21.75" customHeight="1" x14ac:dyDescent="0.25">
      <c r="A303" s="251">
        <v>1</v>
      </c>
      <c r="B303" s="290" t="s">
        <v>2328</v>
      </c>
      <c r="C303" s="253"/>
      <c r="G303" s="270" t="s">
        <v>1216</v>
      </c>
      <c r="K303" s="290">
        <v>10928</v>
      </c>
      <c r="L303" s="270" t="s">
        <v>1939</v>
      </c>
    </row>
    <row r="304" spans="1:12" ht="21.75" customHeight="1" x14ac:dyDescent="0.25">
      <c r="A304" s="251">
        <v>1</v>
      </c>
      <c r="B304" s="290" t="s">
        <v>2329</v>
      </c>
      <c r="C304" s="253"/>
      <c r="G304" s="270" t="s">
        <v>1225</v>
      </c>
      <c r="K304" s="290">
        <v>15155</v>
      </c>
      <c r="L304" s="270" t="s">
        <v>1939</v>
      </c>
    </row>
    <row r="305" spans="1:12" ht="21.75" customHeight="1" x14ac:dyDescent="0.25">
      <c r="A305" s="251">
        <v>1</v>
      </c>
      <c r="B305" s="290" t="s">
        <v>2330</v>
      </c>
      <c r="C305" s="253"/>
      <c r="G305" s="270" t="s">
        <v>1229</v>
      </c>
      <c r="K305" s="290">
        <v>14174</v>
      </c>
      <c r="L305" s="270" t="s">
        <v>1939</v>
      </c>
    </row>
    <row r="306" spans="1:12" ht="21.75" customHeight="1" x14ac:dyDescent="0.25">
      <c r="A306" s="251">
        <v>1</v>
      </c>
      <c r="B306" s="290" t="s">
        <v>2331</v>
      </c>
      <c r="C306" s="253"/>
      <c r="G306" s="270" t="s">
        <v>1230</v>
      </c>
      <c r="K306" s="290">
        <v>25134</v>
      </c>
      <c r="L306" s="270" t="s">
        <v>1939</v>
      </c>
    </row>
    <row r="307" spans="1:12" ht="21.75" customHeight="1" x14ac:dyDescent="0.25">
      <c r="A307" s="251">
        <v>1</v>
      </c>
      <c r="B307" s="290" t="s">
        <v>2332</v>
      </c>
      <c r="C307" s="253"/>
      <c r="G307" s="270" t="s">
        <v>1239</v>
      </c>
      <c r="K307" s="290">
        <v>12648</v>
      </c>
      <c r="L307" s="270" t="s">
        <v>1939</v>
      </c>
    </row>
    <row r="308" spans="1:12" ht="21.75" customHeight="1" x14ac:dyDescent="0.25">
      <c r="A308" s="251">
        <v>1</v>
      </c>
      <c r="B308" s="290" t="s">
        <v>2333</v>
      </c>
      <c r="C308" s="253"/>
      <c r="G308" s="270" t="s">
        <v>1248</v>
      </c>
      <c r="K308" s="290">
        <v>17121</v>
      </c>
      <c r="L308" s="270" t="s">
        <v>1939</v>
      </c>
    </row>
    <row r="309" spans="1:12" ht="21.75" customHeight="1" x14ac:dyDescent="0.25">
      <c r="A309" s="251">
        <v>1</v>
      </c>
      <c r="B309" s="290" t="s">
        <v>2334</v>
      </c>
      <c r="C309" s="253"/>
      <c r="G309" s="270" t="s">
        <v>1252</v>
      </c>
      <c r="K309" s="290">
        <v>16140</v>
      </c>
      <c r="L309" s="270" t="s">
        <v>1939</v>
      </c>
    </row>
    <row r="310" spans="1:12" ht="21.75" customHeight="1" x14ac:dyDescent="0.25">
      <c r="A310" s="251">
        <v>1</v>
      </c>
      <c r="B310" s="290" t="s">
        <v>2335</v>
      </c>
      <c r="C310" s="253"/>
      <c r="G310" s="270" t="s">
        <v>1253</v>
      </c>
      <c r="K310" s="290">
        <v>27512</v>
      </c>
      <c r="L310" s="270" t="s">
        <v>1939</v>
      </c>
    </row>
    <row r="311" spans="1:12" ht="21.75" customHeight="1" x14ac:dyDescent="0.25">
      <c r="A311" s="251">
        <v>1</v>
      </c>
      <c r="B311" s="267" t="s">
        <v>2336</v>
      </c>
      <c r="C311" s="253"/>
      <c r="G311" s="270" t="s">
        <v>1260</v>
      </c>
      <c r="K311" s="267">
        <v>17367</v>
      </c>
      <c r="L311" s="270" t="s">
        <v>1939</v>
      </c>
    </row>
    <row r="312" spans="1:12" ht="21.75" customHeight="1" x14ac:dyDescent="0.25">
      <c r="A312" s="251">
        <v>1</v>
      </c>
      <c r="B312" s="290" t="s">
        <v>2337</v>
      </c>
      <c r="C312" s="253"/>
      <c r="G312" s="270" t="s">
        <v>1296</v>
      </c>
      <c r="K312" s="290">
        <v>21338</v>
      </c>
      <c r="L312" s="270" t="s">
        <v>1939</v>
      </c>
    </row>
    <row r="313" spans="1:12" ht="21.75" customHeight="1" x14ac:dyDescent="0.25">
      <c r="A313" s="251">
        <v>1</v>
      </c>
      <c r="B313" s="19" t="s">
        <v>2338</v>
      </c>
      <c r="C313" s="253"/>
      <c r="G313" s="270" t="s">
        <v>1300</v>
      </c>
      <c r="K313" s="19">
        <v>20359</v>
      </c>
      <c r="L313" s="270" t="s">
        <v>1939</v>
      </c>
    </row>
    <row r="314" spans="1:12" ht="21.75" customHeight="1" x14ac:dyDescent="0.25">
      <c r="A314" s="251">
        <v>1</v>
      </c>
      <c r="B314" s="19" t="s">
        <v>2339</v>
      </c>
      <c r="C314" s="253"/>
      <c r="G314" s="270" t="s">
        <v>1301</v>
      </c>
      <c r="K314" s="19">
        <v>32979</v>
      </c>
      <c r="L314" s="270" t="s">
        <v>1939</v>
      </c>
    </row>
    <row r="315" spans="1:12" ht="21.75" customHeight="1" x14ac:dyDescent="0.25">
      <c r="A315" s="251">
        <v>1</v>
      </c>
      <c r="B315" s="19" t="s">
        <v>2340</v>
      </c>
      <c r="C315" s="253"/>
      <c r="G315" s="270" t="s">
        <v>1312</v>
      </c>
      <c r="K315" s="19">
        <v>24274</v>
      </c>
      <c r="L315" s="270" t="s">
        <v>1939</v>
      </c>
    </row>
    <row r="316" spans="1:12" ht="21.75" customHeight="1" x14ac:dyDescent="0.25">
      <c r="A316" s="251">
        <v>1</v>
      </c>
      <c r="B316" s="19" t="s">
        <v>2341</v>
      </c>
      <c r="C316" s="253"/>
      <c r="G316" s="270" t="s">
        <v>1339</v>
      </c>
      <c r="K316" s="19">
        <v>72863</v>
      </c>
      <c r="L316" s="270" t="s">
        <v>1939</v>
      </c>
    </row>
    <row r="317" spans="1:12" ht="21.75" customHeight="1" x14ac:dyDescent="0.25">
      <c r="A317" s="251">
        <v>1</v>
      </c>
      <c r="B317" s="19" t="s">
        <v>2342</v>
      </c>
      <c r="C317" s="253"/>
      <c r="G317" s="270" t="s">
        <v>1340</v>
      </c>
      <c r="K317" s="19">
        <v>93164</v>
      </c>
      <c r="L317" s="270" t="s">
        <v>1939</v>
      </c>
    </row>
    <row r="318" spans="1:12" ht="21.75" customHeight="1" x14ac:dyDescent="0.25">
      <c r="A318" s="251">
        <v>1</v>
      </c>
      <c r="B318" s="19" t="s">
        <v>2343</v>
      </c>
      <c r="C318" s="253"/>
      <c r="G318" s="270" t="s">
        <v>1341</v>
      </c>
      <c r="K318" s="19">
        <v>98894</v>
      </c>
      <c r="L318" s="270" t="s">
        <v>1939</v>
      </c>
    </row>
    <row r="319" spans="1:12" ht="21.75" customHeight="1" x14ac:dyDescent="0.25">
      <c r="A319" s="251">
        <v>1</v>
      </c>
      <c r="B319" s="19" t="s">
        <v>2344</v>
      </c>
      <c r="C319" s="253"/>
      <c r="G319" s="270" t="s">
        <v>1343</v>
      </c>
      <c r="K319" s="19">
        <v>116453</v>
      </c>
      <c r="L319" s="270" t="s">
        <v>1939</v>
      </c>
    </row>
    <row r="320" spans="1:12" ht="21.75" customHeight="1" x14ac:dyDescent="0.25">
      <c r="A320" s="251">
        <v>1</v>
      </c>
      <c r="B320" s="19" t="s">
        <v>2345</v>
      </c>
      <c r="C320" s="253"/>
      <c r="G320" s="270" t="s">
        <v>1345</v>
      </c>
      <c r="K320" s="19">
        <v>127974</v>
      </c>
      <c r="L320" s="270" t="s">
        <v>1939</v>
      </c>
    </row>
    <row r="321" spans="1:12" ht="21.75" customHeight="1" x14ac:dyDescent="0.25">
      <c r="A321" s="251">
        <v>1</v>
      </c>
      <c r="B321" s="19" t="s">
        <v>2346</v>
      </c>
      <c r="C321" s="253"/>
      <c r="G321" s="270" t="s">
        <v>1461</v>
      </c>
      <c r="K321" s="19">
        <v>89601</v>
      </c>
      <c r="L321" s="270" t="s">
        <v>1939</v>
      </c>
    </row>
    <row r="322" spans="1:12" ht="21.75" customHeight="1" x14ac:dyDescent="0.25">
      <c r="A322" s="251">
        <v>1</v>
      </c>
      <c r="B322" s="19" t="s">
        <v>2347</v>
      </c>
      <c r="C322" s="253"/>
      <c r="G322" s="270" t="s">
        <v>3291</v>
      </c>
      <c r="K322" s="19">
        <v>28440</v>
      </c>
      <c r="L322" s="270" t="s">
        <v>1939</v>
      </c>
    </row>
    <row r="323" spans="1:12" ht="21.75" customHeight="1" x14ac:dyDescent="0.25">
      <c r="A323" s="251">
        <v>1</v>
      </c>
      <c r="B323" s="19" t="s">
        <v>2348</v>
      </c>
      <c r="C323" s="253"/>
      <c r="G323" s="270" t="s">
        <v>3292</v>
      </c>
      <c r="K323" s="19">
        <v>31674</v>
      </c>
      <c r="L323" s="270" t="s">
        <v>1939</v>
      </c>
    </row>
    <row r="324" spans="1:12" ht="21.75" customHeight="1" x14ac:dyDescent="0.25">
      <c r="A324" s="251">
        <v>1</v>
      </c>
      <c r="B324" s="19" t="s">
        <v>2349</v>
      </c>
      <c r="C324" s="253"/>
      <c r="G324" s="270" t="s">
        <v>3293</v>
      </c>
      <c r="K324" s="19">
        <v>34081</v>
      </c>
      <c r="L324" s="270" t="s">
        <v>1939</v>
      </c>
    </row>
    <row r="325" spans="1:12" ht="21.75" customHeight="1" x14ac:dyDescent="0.25">
      <c r="A325" s="251">
        <v>1</v>
      </c>
      <c r="B325" s="19" t="s">
        <v>2350</v>
      </c>
      <c r="C325" s="253"/>
      <c r="G325" s="270" t="s">
        <v>3294</v>
      </c>
      <c r="K325" s="19">
        <v>38613</v>
      </c>
      <c r="L325" s="270" t="s">
        <v>1939</v>
      </c>
    </row>
    <row r="326" spans="1:12" ht="21.75" customHeight="1" x14ac:dyDescent="0.25">
      <c r="A326" s="251">
        <v>1</v>
      </c>
      <c r="B326" s="19" t="s">
        <v>2351</v>
      </c>
      <c r="C326" s="253"/>
      <c r="G326" s="270" t="s">
        <v>3295</v>
      </c>
      <c r="K326" s="19">
        <v>78252</v>
      </c>
      <c r="L326" s="270" t="s">
        <v>1939</v>
      </c>
    </row>
    <row r="327" spans="1:12" ht="21.75" customHeight="1" x14ac:dyDescent="0.25">
      <c r="A327" s="251">
        <v>1</v>
      </c>
      <c r="B327" s="326" t="s">
        <v>2352</v>
      </c>
      <c r="C327" s="253"/>
      <c r="G327" s="270" t="s">
        <v>3296</v>
      </c>
      <c r="K327" s="326">
        <v>126425</v>
      </c>
      <c r="L327" s="270" t="s">
        <v>1939</v>
      </c>
    </row>
    <row r="328" spans="1:12" ht="21.75" customHeight="1" x14ac:dyDescent="0.25">
      <c r="A328" s="251">
        <v>1</v>
      </c>
      <c r="B328" s="326" t="s">
        <v>2353</v>
      </c>
      <c r="C328" s="253"/>
      <c r="G328" s="270" t="s">
        <v>1448</v>
      </c>
      <c r="K328" s="326">
        <v>40710</v>
      </c>
      <c r="L328" s="270" t="s">
        <v>1939</v>
      </c>
    </row>
    <row r="329" spans="1:12" ht="21.75" customHeight="1" x14ac:dyDescent="0.25">
      <c r="A329" s="251">
        <v>1</v>
      </c>
      <c r="B329" s="326" t="s">
        <v>2354</v>
      </c>
      <c r="C329" s="253"/>
      <c r="G329" s="270" t="s">
        <v>1451</v>
      </c>
      <c r="K329" s="326">
        <v>34157</v>
      </c>
      <c r="L329" s="270" t="s">
        <v>1939</v>
      </c>
    </row>
    <row r="330" spans="1:12" ht="21.75" customHeight="1" x14ac:dyDescent="0.25">
      <c r="A330" s="251">
        <v>1</v>
      </c>
      <c r="B330" s="326" t="s">
        <v>2355</v>
      </c>
      <c r="C330" s="253"/>
      <c r="G330" s="270" t="s">
        <v>1454</v>
      </c>
      <c r="K330" s="326">
        <v>31504</v>
      </c>
      <c r="L330" s="270" t="s">
        <v>1939</v>
      </c>
    </row>
    <row r="331" spans="1:12" ht="21.75" customHeight="1" x14ac:dyDescent="0.25">
      <c r="A331" s="251">
        <v>1</v>
      </c>
      <c r="B331" s="326" t="s">
        <v>2356</v>
      </c>
      <c r="C331" s="253"/>
      <c r="G331" s="270" t="s">
        <v>1457</v>
      </c>
      <c r="K331" s="326">
        <v>38289</v>
      </c>
      <c r="L331" s="270" t="s">
        <v>1939</v>
      </c>
    </row>
    <row r="332" spans="1:12" ht="21.75" customHeight="1" x14ac:dyDescent="0.25">
      <c r="A332" s="251">
        <v>1</v>
      </c>
      <c r="B332" s="326" t="s">
        <v>2357</v>
      </c>
      <c r="C332" s="253"/>
      <c r="G332" s="270" t="s">
        <v>1460</v>
      </c>
      <c r="K332" s="326">
        <v>64827</v>
      </c>
      <c r="L332" s="270" t="s">
        <v>1939</v>
      </c>
    </row>
    <row r="333" spans="1:12" ht="21.75" customHeight="1" x14ac:dyDescent="0.25">
      <c r="A333" s="251">
        <v>1</v>
      </c>
      <c r="B333" s="326" t="s">
        <v>2358</v>
      </c>
      <c r="C333" s="253"/>
      <c r="G333" s="270" t="s">
        <v>1463</v>
      </c>
      <c r="K333" s="326">
        <v>109943</v>
      </c>
      <c r="L333" s="270" t="s">
        <v>1939</v>
      </c>
    </row>
    <row r="334" spans="1:12" ht="21.75" customHeight="1" x14ac:dyDescent="0.25">
      <c r="A334" s="251">
        <v>1</v>
      </c>
      <c r="B334" s="326" t="s">
        <v>1856</v>
      </c>
      <c r="C334" s="253"/>
      <c r="G334" s="270" t="s">
        <v>1561</v>
      </c>
      <c r="K334" s="326">
        <v>20650</v>
      </c>
      <c r="L334" s="270" t="s">
        <v>1939</v>
      </c>
    </row>
    <row r="335" spans="1:12" ht="21.75" customHeight="1" x14ac:dyDescent="0.25">
      <c r="A335" s="251">
        <v>1</v>
      </c>
      <c r="B335" s="326" t="s">
        <v>1855</v>
      </c>
      <c r="C335" s="253"/>
      <c r="G335" s="270" t="s">
        <v>1565</v>
      </c>
      <c r="K335" s="326">
        <v>19040</v>
      </c>
      <c r="L335" s="270" t="s">
        <v>1939</v>
      </c>
    </row>
    <row r="336" spans="1:12" ht="21.75" customHeight="1" x14ac:dyDescent="0.25">
      <c r="A336" s="251">
        <v>1</v>
      </c>
      <c r="B336" s="326" t="s">
        <v>1854</v>
      </c>
      <c r="C336" s="253"/>
      <c r="G336" s="270" t="s">
        <v>1569</v>
      </c>
      <c r="K336" s="326">
        <v>22610</v>
      </c>
      <c r="L336" s="270" t="s">
        <v>1939</v>
      </c>
    </row>
    <row r="337" spans="1:12" ht="21.75" customHeight="1" x14ac:dyDescent="0.25">
      <c r="A337" s="251">
        <v>1</v>
      </c>
      <c r="B337" s="326" t="s">
        <v>1853</v>
      </c>
      <c r="C337" s="253"/>
      <c r="G337" s="270" t="s">
        <v>1573</v>
      </c>
      <c r="K337" s="326">
        <v>21280</v>
      </c>
      <c r="L337" s="270" t="s">
        <v>1939</v>
      </c>
    </row>
    <row r="338" spans="1:12" ht="21.75" customHeight="1" x14ac:dyDescent="0.25">
      <c r="A338" s="251">
        <v>1</v>
      </c>
      <c r="B338" s="326" t="s">
        <v>1852</v>
      </c>
      <c r="C338" s="253"/>
      <c r="G338" s="270" t="s">
        <v>1577</v>
      </c>
      <c r="K338" s="326">
        <v>24150</v>
      </c>
      <c r="L338" s="270" t="s">
        <v>1939</v>
      </c>
    </row>
    <row r="339" spans="1:12" ht="21.75" customHeight="1" x14ac:dyDescent="0.25">
      <c r="A339" s="251">
        <v>1</v>
      </c>
      <c r="B339" s="326" t="s">
        <v>1851</v>
      </c>
      <c r="C339" s="253"/>
      <c r="G339" s="270" t="s">
        <v>1581</v>
      </c>
      <c r="K339" s="326">
        <v>23380</v>
      </c>
      <c r="L339" s="270" t="s">
        <v>1939</v>
      </c>
    </row>
    <row r="340" spans="1:12" ht="21.75" customHeight="1" x14ac:dyDescent="0.25">
      <c r="A340" s="251">
        <v>1</v>
      </c>
      <c r="B340" s="326" t="s">
        <v>1850</v>
      </c>
      <c r="C340" s="253"/>
      <c r="G340" s="270" t="s">
        <v>1585</v>
      </c>
      <c r="K340" s="326">
        <v>26180</v>
      </c>
      <c r="L340" s="270" t="s">
        <v>1939</v>
      </c>
    </row>
    <row r="341" spans="1:12" ht="21.75" customHeight="1" x14ac:dyDescent="0.25">
      <c r="A341" s="251">
        <v>1</v>
      </c>
      <c r="B341" s="326" t="s">
        <v>1849</v>
      </c>
      <c r="C341" s="253"/>
      <c r="G341" s="270" t="s">
        <v>1590</v>
      </c>
      <c r="K341" s="326">
        <v>25900</v>
      </c>
      <c r="L341" s="270" t="s">
        <v>1939</v>
      </c>
    </row>
    <row r="342" spans="1:12" ht="21.75" customHeight="1" x14ac:dyDescent="0.25">
      <c r="A342" s="251">
        <v>1</v>
      </c>
      <c r="B342" s="25" t="s">
        <v>1848</v>
      </c>
      <c r="C342" s="253"/>
      <c r="G342" s="270" t="s">
        <v>1594</v>
      </c>
      <c r="K342" s="25">
        <v>30100</v>
      </c>
      <c r="L342" s="270" t="s">
        <v>1939</v>
      </c>
    </row>
    <row r="343" spans="1:12" ht="21.75" customHeight="1" x14ac:dyDescent="0.25">
      <c r="A343" s="251">
        <v>1</v>
      </c>
      <c r="B343" s="326" t="s">
        <v>1847</v>
      </c>
      <c r="C343" s="253"/>
      <c r="G343" s="270" t="s">
        <v>1605</v>
      </c>
      <c r="K343" s="326">
        <v>54600</v>
      </c>
      <c r="L343" s="270" t="s">
        <v>1939</v>
      </c>
    </row>
    <row r="344" spans="1:12" ht="21.75" customHeight="1" x14ac:dyDescent="0.25">
      <c r="A344" s="251">
        <v>1</v>
      </c>
      <c r="B344" s="326" t="s">
        <v>1846</v>
      </c>
      <c r="C344" s="253"/>
      <c r="G344" s="270" t="s">
        <v>1609</v>
      </c>
      <c r="K344" s="326">
        <v>60620</v>
      </c>
      <c r="L344" s="270" t="s">
        <v>1939</v>
      </c>
    </row>
    <row r="345" spans="1:12" ht="21.75" customHeight="1" x14ac:dyDescent="0.25">
      <c r="A345" s="251">
        <v>1</v>
      </c>
      <c r="B345" s="326" t="s">
        <v>1845</v>
      </c>
      <c r="C345" s="253"/>
      <c r="G345" s="270" t="s">
        <v>1613</v>
      </c>
      <c r="K345" s="326">
        <v>95830</v>
      </c>
      <c r="L345" s="270" t="s">
        <v>1939</v>
      </c>
    </row>
    <row r="346" spans="1:12" ht="21.75" customHeight="1" x14ac:dyDescent="0.25">
      <c r="A346" s="251">
        <v>1</v>
      </c>
      <c r="B346" s="326" t="s">
        <v>1844</v>
      </c>
      <c r="C346" s="253"/>
      <c r="G346" s="270" t="s">
        <v>1616</v>
      </c>
      <c r="K346" s="326">
        <v>104090</v>
      </c>
      <c r="L346" s="270" t="s">
        <v>1939</v>
      </c>
    </row>
    <row r="347" spans="1:12" ht="21.75" customHeight="1" x14ac:dyDescent="0.25">
      <c r="A347" s="251">
        <v>1</v>
      </c>
      <c r="B347" s="326" t="s">
        <v>1843</v>
      </c>
      <c r="C347" s="253"/>
      <c r="G347" s="270" t="s">
        <v>1619</v>
      </c>
      <c r="K347" s="326">
        <v>180880</v>
      </c>
      <c r="L347" s="270" t="s">
        <v>1939</v>
      </c>
    </row>
    <row r="348" spans="1:12" ht="21.75" customHeight="1" x14ac:dyDescent="0.25">
      <c r="A348" s="251">
        <v>1</v>
      </c>
      <c r="B348" s="25" t="s">
        <v>1842</v>
      </c>
      <c r="C348" s="253"/>
      <c r="G348" s="270" t="s">
        <v>1624</v>
      </c>
      <c r="K348" s="25">
        <v>24710</v>
      </c>
      <c r="L348" s="270" t="s">
        <v>1939</v>
      </c>
    </row>
    <row r="349" spans="1:12" ht="21.75" customHeight="1" x14ac:dyDescent="0.25">
      <c r="A349" s="251">
        <v>1</v>
      </c>
      <c r="B349" s="326" t="s">
        <v>1841</v>
      </c>
      <c r="C349" s="253"/>
      <c r="G349" s="270" t="s">
        <v>1626</v>
      </c>
      <c r="K349" s="326">
        <v>28000</v>
      </c>
      <c r="L349" s="270" t="s">
        <v>1939</v>
      </c>
    </row>
    <row r="350" spans="1:12" ht="21.75" customHeight="1" x14ac:dyDescent="0.25">
      <c r="A350" s="251">
        <v>1</v>
      </c>
      <c r="B350" s="19" t="s">
        <v>1840</v>
      </c>
      <c r="C350" s="253"/>
      <c r="G350" s="270" t="s">
        <v>1628</v>
      </c>
      <c r="K350" s="19">
        <v>24990</v>
      </c>
      <c r="L350" s="270" t="s">
        <v>1939</v>
      </c>
    </row>
    <row r="351" spans="1:12" ht="21.75" customHeight="1" x14ac:dyDescent="0.25">
      <c r="A351" s="251">
        <v>1</v>
      </c>
      <c r="B351" s="326" t="s">
        <v>1839</v>
      </c>
      <c r="C351" s="253"/>
      <c r="G351" s="270" t="s">
        <v>1631</v>
      </c>
      <c r="K351" s="326">
        <v>28910</v>
      </c>
      <c r="L351" s="270" t="s">
        <v>1939</v>
      </c>
    </row>
    <row r="352" spans="1:12" ht="21.75" customHeight="1" x14ac:dyDescent="0.25">
      <c r="A352" s="251">
        <v>1</v>
      </c>
      <c r="B352" s="326" t="s">
        <v>1838</v>
      </c>
      <c r="C352" s="253"/>
      <c r="G352" s="270" t="s">
        <v>1635</v>
      </c>
      <c r="K352" s="326">
        <v>32480</v>
      </c>
      <c r="L352" s="270" t="s">
        <v>1939</v>
      </c>
    </row>
    <row r="353" spans="1:12" ht="21.75" customHeight="1" x14ac:dyDescent="0.25">
      <c r="A353" s="251">
        <v>1</v>
      </c>
      <c r="B353" s="326" t="s">
        <v>1837</v>
      </c>
      <c r="C353" s="253"/>
      <c r="G353" s="270" t="s">
        <v>1639</v>
      </c>
      <c r="K353" s="326">
        <v>34370</v>
      </c>
      <c r="L353" s="270" t="s">
        <v>1939</v>
      </c>
    </row>
    <row r="354" spans="1:12" ht="21.75" customHeight="1" x14ac:dyDescent="0.25">
      <c r="A354" s="251">
        <v>1</v>
      </c>
      <c r="B354" s="326" t="s">
        <v>1836</v>
      </c>
      <c r="C354" s="253"/>
      <c r="G354" s="270" t="s">
        <v>1644</v>
      </c>
      <c r="K354" s="326">
        <v>37380</v>
      </c>
      <c r="L354" s="270" t="s">
        <v>1939</v>
      </c>
    </row>
    <row r="355" spans="1:12" ht="21.75" customHeight="1" x14ac:dyDescent="0.25">
      <c r="A355" s="251">
        <v>1</v>
      </c>
      <c r="B355" s="326" t="s">
        <v>1835</v>
      </c>
      <c r="C355" s="253"/>
      <c r="G355" s="270" t="s">
        <v>1654</v>
      </c>
      <c r="K355" s="326">
        <v>78820</v>
      </c>
      <c r="L355" s="270" t="s">
        <v>1939</v>
      </c>
    </row>
    <row r="356" spans="1:12" ht="21.75" customHeight="1" x14ac:dyDescent="0.25">
      <c r="A356" s="251">
        <v>1</v>
      </c>
      <c r="B356" s="326" t="s">
        <v>1834</v>
      </c>
      <c r="C356" s="253"/>
      <c r="G356" s="270" t="s">
        <v>1659</v>
      </c>
      <c r="K356" s="326">
        <v>118090</v>
      </c>
      <c r="L356" s="270" t="s">
        <v>1939</v>
      </c>
    </row>
    <row r="357" spans="1:12" ht="21.75" customHeight="1" x14ac:dyDescent="0.25">
      <c r="A357" s="251">
        <v>1</v>
      </c>
      <c r="B357" s="326" t="s">
        <v>1833</v>
      </c>
      <c r="C357" s="253"/>
      <c r="G357" s="270" t="s">
        <v>1662</v>
      </c>
      <c r="K357" s="326">
        <v>201040</v>
      </c>
      <c r="L357" s="270" t="s">
        <v>1939</v>
      </c>
    </row>
    <row r="358" spans="1:12" ht="21.75" customHeight="1" x14ac:dyDescent="0.25">
      <c r="A358" s="251">
        <v>1</v>
      </c>
      <c r="B358" s="326" t="s">
        <v>2359</v>
      </c>
      <c r="C358" s="253"/>
      <c r="G358" s="270" t="s">
        <v>2360</v>
      </c>
      <c r="K358" s="326">
        <v>454800</v>
      </c>
      <c r="L358" s="270" t="s">
        <v>1939</v>
      </c>
    </row>
    <row r="359" spans="1:12" ht="21.75" customHeight="1" x14ac:dyDescent="0.25">
      <c r="A359" s="251">
        <v>1</v>
      </c>
      <c r="B359" s="326" t="s">
        <v>2361</v>
      </c>
      <c r="C359" s="253"/>
      <c r="G359" s="270" t="s">
        <v>2362</v>
      </c>
      <c r="K359" s="326">
        <v>4320</v>
      </c>
      <c r="L359" s="270" t="s">
        <v>1939</v>
      </c>
    </row>
    <row r="360" spans="1:12" ht="21.75" customHeight="1" x14ac:dyDescent="0.25">
      <c r="A360" s="251">
        <v>1</v>
      </c>
      <c r="B360" s="25" t="s">
        <v>1832</v>
      </c>
      <c r="C360" s="253"/>
      <c r="G360" s="270" t="s">
        <v>1530</v>
      </c>
      <c r="K360" s="25">
        <v>9590</v>
      </c>
      <c r="L360" s="270" t="s">
        <v>1939</v>
      </c>
    </row>
    <row r="361" spans="1:12" ht="21.75" customHeight="1" x14ac:dyDescent="0.25">
      <c r="A361" s="251">
        <v>1</v>
      </c>
      <c r="B361" s="326" t="s">
        <v>1831</v>
      </c>
      <c r="C361" s="253"/>
      <c r="G361" s="270" t="s">
        <v>1531</v>
      </c>
      <c r="K361" s="326">
        <v>10990</v>
      </c>
      <c r="L361" s="270" t="s">
        <v>1939</v>
      </c>
    </row>
    <row r="362" spans="1:12" ht="21.75" customHeight="1" x14ac:dyDescent="0.25">
      <c r="A362" s="251">
        <v>1</v>
      </c>
      <c r="B362" s="326" t="s">
        <v>1830</v>
      </c>
      <c r="C362" s="253"/>
      <c r="G362" s="270" t="s">
        <v>1536</v>
      </c>
      <c r="K362" s="326">
        <v>11340</v>
      </c>
      <c r="L362" s="270" t="s">
        <v>1939</v>
      </c>
    </row>
    <row r="363" spans="1:12" ht="21.75" customHeight="1" x14ac:dyDescent="0.25">
      <c r="A363" s="251">
        <v>1</v>
      </c>
      <c r="B363" s="326" t="s">
        <v>1829</v>
      </c>
      <c r="C363" s="253"/>
      <c r="G363" s="270" t="s">
        <v>1535</v>
      </c>
      <c r="K363" s="326">
        <v>13160</v>
      </c>
      <c r="L363" s="270" t="s">
        <v>1939</v>
      </c>
    </row>
    <row r="364" spans="1:12" ht="21.75" customHeight="1" x14ac:dyDescent="0.25">
      <c r="A364" s="251">
        <v>1</v>
      </c>
      <c r="B364" s="326" t="s">
        <v>1828</v>
      </c>
      <c r="C364" s="253"/>
      <c r="G364" s="270" t="s">
        <v>1537</v>
      </c>
      <c r="K364" s="326">
        <v>12880</v>
      </c>
      <c r="L364" s="270" t="s">
        <v>1939</v>
      </c>
    </row>
    <row r="365" spans="1:12" ht="21.75" customHeight="1" x14ac:dyDescent="0.25">
      <c r="A365" s="251">
        <v>1</v>
      </c>
      <c r="B365" s="326" t="s">
        <v>1827</v>
      </c>
      <c r="C365" s="253"/>
      <c r="G365" s="270" t="s">
        <v>1541</v>
      </c>
      <c r="K365" s="326">
        <v>15680</v>
      </c>
      <c r="L365" s="270" t="s">
        <v>1939</v>
      </c>
    </row>
    <row r="366" spans="1:12" ht="21.75" customHeight="1" x14ac:dyDescent="0.25">
      <c r="A366" s="251">
        <v>1</v>
      </c>
      <c r="B366" s="25" t="s">
        <v>1826</v>
      </c>
      <c r="C366" s="253"/>
      <c r="G366" s="270" t="s">
        <v>1542</v>
      </c>
      <c r="K366" s="25">
        <v>18830</v>
      </c>
      <c r="L366" s="270" t="s">
        <v>1939</v>
      </c>
    </row>
    <row r="367" spans="1:12" ht="21.75" customHeight="1" x14ac:dyDescent="0.25">
      <c r="A367" s="251">
        <v>1</v>
      </c>
      <c r="B367" s="326" t="s">
        <v>1825</v>
      </c>
      <c r="C367" s="253"/>
      <c r="G367" s="270" t="s">
        <v>1543</v>
      </c>
      <c r="K367" s="326">
        <v>20300</v>
      </c>
      <c r="L367" s="270" t="s">
        <v>1939</v>
      </c>
    </row>
    <row r="368" spans="1:12" ht="21.75" customHeight="1" x14ac:dyDescent="0.25">
      <c r="A368" s="251">
        <v>1</v>
      </c>
      <c r="B368" s="19" t="s">
        <v>1824</v>
      </c>
      <c r="C368" s="253"/>
      <c r="G368" s="270" t="s">
        <v>1547</v>
      </c>
      <c r="K368" s="19">
        <v>23520</v>
      </c>
      <c r="L368" s="270" t="s">
        <v>1939</v>
      </c>
    </row>
    <row r="369" spans="1:12" ht="21.75" customHeight="1" x14ac:dyDescent="0.25">
      <c r="A369" s="251">
        <v>1</v>
      </c>
      <c r="B369" s="19" t="s">
        <v>1823</v>
      </c>
      <c r="C369" s="253"/>
      <c r="G369" s="270" t="s">
        <v>1549</v>
      </c>
      <c r="K369" s="19">
        <v>10290</v>
      </c>
      <c r="L369" s="270" t="s">
        <v>1939</v>
      </c>
    </row>
    <row r="370" spans="1:12" ht="21.75" customHeight="1" x14ac:dyDescent="0.25">
      <c r="A370" s="251">
        <v>1</v>
      </c>
      <c r="B370" s="19" t="s">
        <v>1822</v>
      </c>
      <c r="C370" s="253"/>
      <c r="G370" s="270" t="s">
        <v>1551</v>
      </c>
      <c r="K370" s="19">
        <v>12180</v>
      </c>
      <c r="L370" s="270" t="s">
        <v>1939</v>
      </c>
    </row>
    <row r="371" spans="1:12" ht="21.75" customHeight="1" x14ac:dyDescent="0.25">
      <c r="A371" s="251">
        <v>1</v>
      </c>
      <c r="B371" s="19" t="s">
        <v>1821</v>
      </c>
      <c r="C371" s="253"/>
      <c r="G371" s="270" t="s">
        <v>1553</v>
      </c>
      <c r="K371" s="19">
        <v>20230</v>
      </c>
      <c r="L371" s="270" t="s">
        <v>1939</v>
      </c>
    </row>
    <row r="372" spans="1:12" ht="21.75" customHeight="1" x14ac:dyDescent="0.25">
      <c r="A372" s="251">
        <v>1</v>
      </c>
      <c r="B372" s="19" t="s">
        <v>1820</v>
      </c>
      <c r="C372" s="253"/>
      <c r="G372" s="270" t="s">
        <v>1598</v>
      </c>
      <c r="K372" s="19">
        <v>32550</v>
      </c>
      <c r="L372" s="270" t="s">
        <v>1939</v>
      </c>
    </row>
    <row r="373" spans="1:12" ht="21.75" customHeight="1" x14ac:dyDescent="0.25">
      <c r="A373" s="251">
        <v>1</v>
      </c>
      <c r="B373" s="19" t="s">
        <v>1819</v>
      </c>
      <c r="C373" s="253"/>
      <c r="G373" s="270" t="s">
        <v>1640</v>
      </c>
      <c r="K373" s="19">
        <v>34370</v>
      </c>
      <c r="L373" s="270" t="s">
        <v>1939</v>
      </c>
    </row>
    <row r="374" spans="1:12" ht="21.75" customHeight="1" x14ac:dyDescent="0.25">
      <c r="A374" s="251">
        <v>1</v>
      </c>
      <c r="B374" s="19" t="s">
        <v>1818</v>
      </c>
      <c r="C374" s="253"/>
      <c r="G374" s="270" t="s">
        <v>1645</v>
      </c>
      <c r="K374" s="19">
        <v>37380</v>
      </c>
      <c r="L374" s="270" t="s">
        <v>1939</v>
      </c>
    </row>
    <row r="375" spans="1:12" ht="21.75" customHeight="1" x14ac:dyDescent="0.25">
      <c r="A375" s="251">
        <v>1</v>
      </c>
      <c r="B375" s="19" t="s">
        <v>1817</v>
      </c>
      <c r="C375" s="253"/>
      <c r="G375" s="270" t="s">
        <v>1647</v>
      </c>
      <c r="K375" s="19">
        <v>42280</v>
      </c>
      <c r="L375" s="270" t="s">
        <v>1939</v>
      </c>
    </row>
    <row r="376" spans="1:12" ht="21.75" customHeight="1" x14ac:dyDescent="0.25">
      <c r="A376" s="251">
        <v>1</v>
      </c>
      <c r="B376" s="19" t="s">
        <v>1816</v>
      </c>
      <c r="C376" s="253"/>
      <c r="G376" s="270" t="s">
        <v>1649</v>
      </c>
      <c r="K376" s="19">
        <v>45780</v>
      </c>
      <c r="L376" s="270" t="s">
        <v>1939</v>
      </c>
    </row>
    <row r="377" spans="1:12" ht="21.75" customHeight="1" x14ac:dyDescent="0.25">
      <c r="A377" s="251">
        <v>1</v>
      </c>
      <c r="B377" s="19" t="s">
        <v>1815</v>
      </c>
      <c r="C377" s="253"/>
      <c r="G377" s="270" t="s">
        <v>1651</v>
      </c>
      <c r="K377" s="19">
        <v>76160</v>
      </c>
      <c r="L377" s="270" t="s">
        <v>1939</v>
      </c>
    </row>
    <row r="378" spans="1:12" ht="21.75" customHeight="1" x14ac:dyDescent="0.25">
      <c r="A378" s="251">
        <v>1</v>
      </c>
      <c r="B378" s="19" t="s">
        <v>1814</v>
      </c>
      <c r="C378" s="253"/>
      <c r="G378" s="270" t="s">
        <v>1656</v>
      </c>
      <c r="K378" s="19">
        <v>113260</v>
      </c>
      <c r="L378" s="270" t="s">
        <v>1939</v>
      </c>
    </row>
    <row r="379" spans="1:12" ht="21.75" customHeight="1" x14ac:dyDescent="0.25">
      <c r="A379" s="251">
        <v>1</v>
      </c>
      <c r="B379" s="19" t="s">
        <v>1813</v>
      </c>
      <c r="C379" s="253"/>
      <c r="G379" s="270" t="s">
        <v>1586</v>
      </c>
      <c r="K379" s="19">
        <v>26180</v>
      </c>
      <c r="L379" s="270" t="s">
        <v>1939</v>
      </c>
    </row>
    <row r="380" spans="1:12" ht="21.75" customHeight="1" x14ac:dyDescent="0.25">
      <c r="A380" s="251">
        <v>1</v>
      </c>
      <c r="B380" s="19" t="s">
        <v>1812</v>
      </c>
      <c r="C380" s="253"/>
      <c r="G380" s="270" t="s">
        <v>1595</v>
      </c>
      <c r="K380" s="19">
        <v>30100</v>
      </c>
      <c r="L380" s="270" t="s">
        <v>1939</v>
      </c>
    </row>
    <row r="381" spans="1:12" ht="21.75" customHeight="1" x14ac:dyDescent="0.25">
      <c r="A381" s="251">
        <v>1</v>
      </c>
      <c r="B381" s="19" t="s">
        <v>1811</v>
      </c>
      <c r="C381" s="253"/>
      <c r="G381" s="270" t="s">
        <v>1601</v>
      </c>
      <c r="K381" s="19">
        <v>35770</v>
      </c>
      <c r="L381" s="270" t="s">
        <v>1939</v>
      </c>
    </row>
    <row r="382" spans="1:12" ht="21.75" customHeight="1" x14ac:dyDescent="0.25">
      <c r="A382" s="251">
        <v>1</v>
      </c>
      <c r="B382" s="326" t="s">
        <v>1810</v>
      </c>
      <c r="C382" s="253"/>
      <c r="G382" s="270" t="s">
        <v>1622</v>
      </c>
      <c r="K382" s="326">
        <v>195300</v>
      </c>
      <c r="L382" s="270" t="s">
        <v>1939</v>
      </c>
    </row>
    <row r="383" spans="1:12" ht="21.75" customHeight="1" x14ac:dyDescent="0.25">
      <c r="A383" s="251">
        <v>1</v>
      </c>
      <c r="B383" s="326" t="s">
        <v>2363</v>
      </c>
      <c r="C383" s="253"/>
      <c r="G383" s="270" t="s">
        <v>2364</v>
      </c>
      <c r="K383" s="326">
        <v>0</v>
      </c>
      <c r="L383" s="270" t="s">
        <v>1939</v>
      </c>
    </row>
    <row r="384" spans="1:12" ht="21.75" customHeight="1" x14ac:dyDescent="0.25">
      <c r="A384" s="251">
        <v>1</v>
      </c>
      <c r="B384" s="326" t="s">
        <v>2365</v>
      </c>
      <c r="C384" s="253"/>
      <c r="G384" s="270" t="s">
        <v>241</v>
      </c>
      <c r="K384" s="326">
        <v>0</v>
      </c>
      <c r="L384" s="270" t="s">
        <v>1939</v>
      </c>
    </row>
    <row r="385" spans="1:12" ht="21.75" customHeight="1" x14ac:dyDescent="0.25">
      <c r="A385" s="251">
        <v>1</v>
      </c>
      <c r="B385" s="326" t="s">
        <v>2366</v>
      </c>
      <c r="C385" s="253"/>
      <c r="G385" s="270" t="s">
        <v>2367</v>
      </c>
      <c r="K385" s="326">
        <v>0</v>
      </c>
      <c r="L385" s="270" t="s">
        <v>1939</v>
      </c>
    </row>
    <row r="386" spans="1:12" ht="21.75" customHeight="1" x14ac:dyDescent="0.25">
      <c r="A386" s="251">
        <v>1</v>
      </c>
      <c r="B386" s="326" t="s">
        <v>2368</v>
      </c>
      <c r="C386" s="253"/>
      <c r="G386" s="270" t="s">
        <v>2369</v>
      </c>
      <c r="K386" s="326">
        <v>0</v>
      </c>
      <c r="L386" s="270" t="s">
        <v>1939</v>
      </c>
    </row>
    <row r="387" spans="1:12" ht="21.75" customHeight="1" x14ac:dyDescent="0.25">
      <c r="A387" s="251">
        <v>1</v>
      </c>
      <c r="B387" s="326" t="s">
        <v>2370</v>
      </c>
      <c r="C387" s="253"/>
      <c r="G387" s="270" t="s">
        <v>2371</v>
      </c>
      <c r="K387" s="326">
        <v>0</v>
      </c>
      <c r="L387" s="270" t="s">
        <v>1939</v>
      </c>
    </row>
    <row r="388" spans="1:12" ht="21.75" customHeight="1" x14ac:dyDescent="0.25">
      <c r="A388" s="251">
        <v>1</v>
      </c>
      <c r="B388" s="326" t="s">
        <v>2372</v>
      </c>
      <c r="C388" s="253"/>
      <c r="G388" s="270" t="s">
        <v>2373</v>
      </c>
      <c r="K388" s="326">
        <v>0</v>
      </c>
      <c r="L388" s="270" t="s">
        <v>1939</v>
      </c>
    </row>
    <row r="389" spans="1:12" ht="21.75" customHeight="1" x14ac:dyDescent="0.25">
      <c r="A389" s="251">
        <v>1</v>
      </c>
      <c r="B389" s="326" t="s">
        <v>2374</v>
      </c>
      <c r="C389" s="253"/>
      <c r="G389" s="270" t="s">
        <v>2375</v>
      </c>
      <c r="K389" s="326">
        <v>0</v>
      </c>
      <c r="L389" s="270" t="s">
        <v>1939</v>
      </c>
    </row>
    <row r="390" spans="1:12" ht="21.75" customHeight="1" x14ac:dyDescent="0.25">
      <c r="A390" s="251">
        <v>1</v>
      </c>
      <c r="B390" s="326" t="s">
        <v>2376</v>
      </c>
      <c r="C390" s="253"/>
      <c r="G390" s="270" t="s">
        <v>2377</v>
      </c>
      <c r="K390" s="326">
        <v>0</v>
      </c>
      <c r="L390" s="270" t="s">
        <v>1939</v>
      </c>
    </row>
    <row r="391" spans="1:12" ht="21.75" customHeight="1" x14ac:dyDescent="0.25">
      <c r="A391" s="251">
        <v>1</v>
      </c>
      <c r="B391" s="326" t="s">
        <v>2378</v>
      </c>
      <c r="C391" s="253"/>
      <c r="G391" s="270" t="s">
        <v>2379</v>
      </c>
      <c r="K391" s="326">
        <v>0</v>
      </c>
      <c r="L391" s="270" t="s">
        <v>1939</v>
      </c>
    </row>
    <row r="392" spans="1:12" ht="21.75" customHeight="1" x14ac:dyDescent="0.25">
      <c r="A392" s="251">
        <v>1</v>
      </c>
      <c r="B392" s="326" t="s">
        <v>2380</v>
      </c>
      <c r="C392" s="253"/>
      <c r="G392" s="270" t="s">
        <v>2381</v>
      </c>
      <c r="K392" s="326">
        <v>0</v>
      </c>
      <c r="L392" s="270" t="s">
        <v>1939</v>
      </c>
    </row>
    <row r="393" spans="1:12" ht="21.75" customHeight="1" x14ac:dyDescent="0.25">
      <c r="A393" s="251">
        <v>1</v>
      </c>
      <c r="B393" s="326" t="s">
        <v>2382</v>
      </c>
      <c r="C393" s="253"/>
      <c r="G393" s="270" t="s">
        <v>2383</v>
      </c>
      <c r="K393" s="326">
        <v>0</v>
      </c>
      <c r="L393" s="270" t="s">
        <v>1939</v>
      </c>
    </row>
    <row r="394" spans="1:12" ht="21.75" customHeight="1" x14ac:dyDescent="0.25">
      <c r="A394" s="251">
        <v>1</v>
      </c>
      <c r="B394" s="326" t="s">
        <v>2384</v>
      </c>
      <c r="C394" s="253"/>
      <c r="G394" s="270" t="s">
        <v>2385</v>
      </c>
      <c r="K394" s="326">
        <v>0</v>
      </c>
      <c r="L394" s="270" t="s">
        <v>1939</v>
      </c>
    </row>
    <row r="395" spans="1:12" ht="21.75" customHeight="1" x14ac:dyDescent="0.25">
      <c r="A395" s="251">
        <v>1</v>
      </c>
      <c r="B395" s="326" t="s">
        <v>1905</v>
      </c>
      <c r="C395" s="253"/>
      <c r="G395" s="270" t="s">
        <v>1669</v>
      </c>
      <c r="K395" s="326">
        <v>0</v>
      </c>
      <c r="L395" s="270" t="s">
        <v>1939</v>
      </c>
    </row>
    <row r="396" spans="1:12" ht="21.75" customHeight="1" x14ac:dyDescent="0.25">
      <c r="A396" s="251">
        <v>1</v>
      </c>
      <c r="B396" s="326" t="s">
        <v>1809</v>
      </c>
      <c r="C396" s="253"/>
      <c r="G396" s="270" t="s">
        <v>2386</v>
      </c>
      <c r="K396" s="326">
        <v>20498.8</v>
      </c>
      <c r="L396" s="270" t="s">
        <v>1939</v>
      </c>
    </row>
    <row r="397" spans="1:12" ht="21.75" customHeight="1" x14ac:dyDescent="0.25">
      <c r="A397" s="251">
        <v>1</v>
      </c>
      <c r="B397" s="25" t="s">
        <v>2387</v>
      </c>
      <c r="C397" s="253"/>
      <c r="G397" s="270" t="s">
        <v>2388</v>
      </c>
      <c r="K397" s="25">
        <v>43560</v>
      </c>
      <c r="L397" s="270" t="s">
        <v>1939</v>
      </c>
    </row>
    <row r="398" spans="1:12" ht="21.75" customHeight="1" x14ac:dyDescent="0.25">
      <c r="A398" s="251">
        <v>1</v>
      </c>
      <c r="B398" s="326" t="s">
        <v>1808</v>
      </c>
      <c r="C398" s="253"/>
      <c r="G398" s="270" t="s">
        <v>1495</v>
      </c>
      <c r="K398" s="326">
        <v>2035.6</v>
      </c>
      <c r="L398" s="270" t="s">
        <v>1939</v>
      </c>
    </row>
    <row r="399" spans="1:12" ht="21.75" customHeight="1" x14ac:dyDescent="0.25">
      <c r="A399" s="251">
        <v>1</v>
      </c>
      <c r="B399" s="326" t="s">
        <v>2389</v>
      </c>
      <c r="C399" s="253"/>
      <c r="G399" s="270" t="s">
        <v>2390</v>
      </c>
      <c r="K399" s="326">
        <v>78000</v>
      </c>
      <c r="L399" s="270" t="s">
        <v>1939</v>
      </c>
    </row>
    <row r="400" spans="1:12" ht="21.75" customHeight="1" x14ac:dyDescent="0.25">
      <c r="A400" s="251">
        <v>1</v>
      </c>
      <c r="B400" s="326" t="s">
        <v>2391</v>
      </c>
      <c r="C400" s="253"/>
      <c r="G400" s="270" t="s">
        <v>2392</v>
      </c>
      <c r="K400" s="326">
        <v>39720</v>
      </c>
      <c r="L400" s="270" t="s">
        <v>1939</v>
      </c>
    </row>
    <row r="401" spans="1:12" ht="21.75" customHeight="1" x14ac:dyDescent="0.25">
      <c r="A401" s="251">
        <v>1</v>
      </c>
      <c r="B401" s="326" t="s">
        <v>2393</v>
      </c>
      <c r="C401" s="253"/>
      <c r="G401" s="270" t="s">
        <v>2394</v>
      </c>
      <c r="K401" s="326">
        <v>35640</v>
      </c>
      <c r="L401" s="270" t="s">
        <v>1939</v>
      </c>
    </row>
    <row r="402" spans="1:12" ht="21.75" customHeight="1" x14ac:dyDescent="0.25">
      <c r="A402" s="251">
        <v>1</v>
      </c>
      <c r="B402" s="326" t="s">
        <v>2395</v>
      </c>
      <c r="C402" s="253"/>
      <c r="G402" s="270" t="s">
        <v>2396</v>
      </c>
      <c r="K402" s="326">
        <v>62880</v>
      </c>
      <c r="L402" s="270" t="s">
        <v>1939</v>
      </c>
    </row>
    <row r="403" spans="1:12" ht="21.75" customHeight="1" x14ac:dyDescent="0.25">
      <c r="A403" s="251">
        <v>1</v>
      </c>
      <c r="B403" s="19" t="s">
        <v>2397</v>
      </c>
      <c r="C403" s="253"/>
      <c r="G403" s="270" t="s">
        <v>2398</v>
      </c>
      <c r="K403" s="19">
        <v>70800</v>
      </c>
      <c r="L403" s="270" t="s">
        <v>1939</v>
      </c>
    </row>
    <row r="404" spans="1:12" ht="21.75" customHeight="1" x14ac:dyDescent="0.25">
      <c r="A404" s="251">
        <v>1</v>
      </c>
      <c r="B404" s="19" t="s">
        <v>2399</v>
      </c>
      <c r="C404" s="253"/>
      <c r="G404" s="270" t="s">
        <v>2400</v>
      </c>
      <c r="K404" s="19">
        <v>0</v>
      </c>
      <c r="L404" s="270" t="s">
        <v>1939</v>
      </c>
    </row>
    <row r="405" spans="1:12" ht="21.75" customHeight="1" x14ac:dyDescent="0.25">
      <c r="A405" s="251">
        <v>1</v>
      </c>
      <c r="B405" s="19" t="s">
        <v>2401</v>
      </c>
      <c r="C405" s="253"/>
      <c r="G405" s="270" t="s">
        <v>2402</v>
      </c>
      <c r="K405" s="19">
        <v>174480</v>
      </c>
      <c r="L405" s="270" t="s">
        <v>1939</v>
      </c>
    </row>
    <row r="406" spans="1:12" ht="21.75" customHeight="1" x14ac:dyDescent="0.25">
      <c r="A406" s="251">
        <v>1</v>
      </c>
      <c r="B406" s="326" t="s">
        <v>2403</v>
      </c>
      <c r="C406" s="253"/>
      <c r="G406" s="270" t="s">
        <v>2404</v>
      </c>
      <c r="K406" s="326">
        <v>69840</v>
      </c>
      <c r="L406" s="270" t="s">
        <v>1939</v>
      </c>
    </row>
    <row r="407" spans="1:12" ht="21.75" customHeight="1" x14ac:dyDescent="0.25">
      <c r="A407" s="251">
        <v>1</v>
      </c>
      <c r="B407" s="326" t="s">
        <v>2405</v>
      </c>
      <c r="C407" s="253"/>
      <c r="G407" s="270" t="s">
        <v>2406</v>
      </c>
      <c r="K407" s="326">
        <v>43200</v>
      </c>
      <c r="L407" s="270" t="s">
        <v>1939</v>
      </c>
    </row>
    <row r="408" spans="1:12" ht="21.75" customHeight="1" x14ac:dyDescent="0.25">
      <c r="A408" s="251">
        <v>1</v>
      </c>
      <c r="B408" s="326" t="s">
        <v>2407</v>
      </c>
      <c r="C408" s="253"/>
      <c r="G408" s="270" t="s">
        <v>2408</v>
      </c>
      <c r="K408" s="326">
        <v>67560</v>
      </c>
      <c r="L408" s="270" t="s">
        <v>1939</v>
      </c>
    </row>
    <row r="409" spans="1:12" ht="21.75" customHeight="1" x14ac:dyDescent="0.25">
      <c r="A409" s="251">
        <v>1</v>
      </c>
      <c r="B409" s="326" t="s">
        <v>1807</v>
      </c>
      <c r="C409" s="253"/>
      <c r="G409" s="270" t="s">
        <v>2409</v>
      </c>
      <c r="K409" s="326">
        <v>26206.6</v>
      </c>
      <c r="L409" s="270" t="s">
        <v>1939</v>
      </c>
    </row>
    <row r="410" spans="1:12" ht="21.75" customHeight="1" x14ac:dyDescent="0.25">
      <c r="A410" s="251">
        <v>1</v>
      </c>
      <c r="B410" s="326" t="s">
        <v>1806</v>
      </c>
      <c r="C410" s="253"/>
      <c r="G410" s="270" t="s">
        <v>1491</v>
      </c>
      <c r="K410" s="326">
        <v>1481.2</v>
      </c>
      <c r="L410" s="270" t="s">
        <v>1939</v>
      </c>
    </row>
    <row r="411" spans="1:12" ht="21.75" customHeight="1" x14ac:dyDescent="0.25">
      <c r="A411" s="251">
        <v>1</v>
      </c>
      <c r="B411" s="326" t="s">
        <v>1805</v>
      </c>
      <c r="C411" s="253"/>
      <c r="G411" s="270" t="s">
        <v>1475</v>
      </c>
      <c r="K411" s="326">
        <v>2035.6</v>
      </c>
      <c r="L411" s="270" t="s">
        <v>1939</v>
      </c>
    </row>
    <row r="412" spans="1:12" ht="21.75" customHeight="1" x14ac:dyDescent="0.25">
      <c r="A412" s="251">
        <v>1</v>
      </c>
      <c r="B412" s="326" t="s">
        <v>1804</v>
      </c>
      <c r="C412" s="253"/>
      <c r="G412" s="270" t="s">
        <v>1675</v>
      </c>
      <c r="K412" s="326">
        <v>198338</v>
      </c>
      <c r="L412" s="270" t="s">
        <v>1939</v>
      </c>
    </row>
    <row r="413" spans="1:12" ht="21.75" customHeight="1" x14ac:dyDescent="0.25">
      <c r="A413" s="251">
        <v>1</v>
      </c>
      <c r="B413" s="326" t="s">
        <v>1803</v>
      </c>
      <c r="C413" s="253"/>
      <c r="G413" s="270" t="s">
        <v>1676</v>
      </c>
      <c r="K413" s="326">
        <v>200912.6</v>
      </c>
      <c r="L413" s="270" t="s">
        <v>1939</v>
      </c>
    </row>
    <row r="414" spans="1:12" ht="21.75" customHeight="1" x14ac:dyDescent="0.25">
      <c r="A414" s="251">
        <v>1</v>
      </c>
      <c r="B414" s="326" t="s">
        <v>1802</v>
      </c>
      <c r="C414" s="253"/>
      <c r="G414" s="270" t="s">
        <v>1679</v>
      </c>
      <c r="K414" s="326">
        <v>441994</v>
      </c>
      <c r="L414" s="270" t="s">
        <v>1939</v>
      </c>
    </row>
    <row r="415" spans="1:12" ht="21.75" customHeight="1" x14ac:dyDescent="0.25">
      <c r="A415" s="251">
        <v>1</v>
      </c>
      <c r="B415" s="25" t="s">
        <v>1801</v>
      </c>
      <c r="C415" s="253"/>
      <c r="G415" s="270" t="s">
        <v>1680</v>
      </c>
      <c r="K415" s="25">
        <v>444813.6</v>
      </c>
      <c r="L415" s="270" t="s">
        <v>1939</v>
      </c>
    </row>
    <row r="416" spans="1:12" ht="21.75" customHeight="1" x14ac:dyDescent="0.25">
      <c r="A416" s="251">
        <v>1</v>
      </c>
      <c r="B416" s="326" t="s">
        <v>1800</v>
      </c>
      <c r="C416" s="253"/>
      <c r="G416" s="270" t="s">
        <v>1663</v>
      </c>
      <c r="K416" s="326">
        <v>109092.2</v>
      </c>
      <c r="L416" s="270" t="s">
        <v>1939</v>
      </c>
    </row>
    <row r="417" spans="1:12" ht="21.75" customHeight="1" x14ac:dyDescent="0.25">
      <c r="A417" s="251">
        <v>1</v>
      </c>
      <c r="B417" s="326" t="s">
        <v>1799</v>
      </c>
      <c r="C417" s="253"/>
      <c r="G417" s="270" t="s">
        <v>1667</v>
      </c>
      <c r="K417" s="326">
        <v>171523.8</v>
      </c>
      <c r="L417" s="270" t="s">
        <v>1939</v>
      </c>
    </row>
    <row r="418" spans="1:12" ht="21.75" customHeight="1" x14ac:dyDescent="0.25">
      <c r="A418" s="251">
        <v>1</v>
      </c>
      <c r="B418" s="326" t="s">
        <v>1798</v>
      </c>
      <c r="C418" s="253"/>
      <c r="G418" s="270" t="s">
        <v>1671</v>
      </c>
      <c r="K418" s="326">
        <v>179522</v>
      </c>
      <c r="L418" s="270" t="s">
        <v>1939</v>
      </c>
    </row>
    <row r="419" spans="1:12" ht="21.75" customHeight="1" x14ac:dyDescent="0.25">
      <c r="A419" s="251">
        <v>1</v>
      </c>
      <c r="B419" s="326" t="s">
        <v>1797</v>
      </c>
      <c r="C419" s="253"/>
      <c r="G419" s="270" t="s">
        <v>1677</v>
      </c>
      <c r="K419" s="326">
        <v>205476.6</v>
      </c>
      <c r="L419" s="270" t="s">
        <v>1939</v>
      </c>
    </row>
    <row r="420" spans="1:12" ht="21.75" customHeight="1" x14ac:dyDescent="0.25">
      <c r="A420" s="251">
        <v>1</v>
      </c>
      <c r="B420" s="19" t="s">
        <v>1796</v>
      </c>
      <c r="C420" s="253"/>
      <c r="G420" s="270" t="s">
        <v>1678</v>
      </c>
      <c r="K420" s="19">
        <v>208051.20000000001</v>
      </c>
      <c r="L420" s="270" t="s">
        <v>1939</v>
      </c>
    </row>
    <row r="421" spans="1:12" ht="21.75" customHeight="1" x14ac:dyDescent="0.25">
      <c r="A421" s="251">
        <v>1</v>
      </c>
      <c r="B421" s="25" t="s">
        <v>1795</v>
      </c>
      <c r="C421" s="253"/>
      <c r="G421" s="270" t="s">
        <v>1681</v>
      </c>
      <c r="K421" s="25">
        <v>449552.6</v>
      </c>
      <c r="L421" s="270" t="s">
        <v>1939</v>
      </c>
    </row>
    <row r="422" spans="1:12" ht="21.75" customHeight="1" x14ac:dyDescent="0.25">
      <c r="A422" s="251">
        <v>1</v>
      </c>
      <c r="B422" s="25" t="s">
        <v>1794</v>
      </c>
      <c r="C422" s="253"/>
      <c r="G422" s="270" t="s">
        <v>1682</v>
      </c>
      <c r="K422" s="25">
        <v>452372.2</v>
      </c>
      <c r="L422" s="270" t="s">
        <v>1939</v>
      </c>
    </row>
    <row r="423" spans="1:12" ht="21.75" customHeight="1" x14ac:dyDescent="0.25">
      <c r="A423" s="251">
        <v>1</v>
      </c>
      <c r="B423" s="292" t="s">
        <v>1793</v>
      </c>
      <c r="C423" s="253"/>
      <c r="G423" s="270" t="s">
        <v>1665</v>
      </c>
      <c r="K423" s="292">
        <v>116946.2</v>
      </c>
      <c r="L423" s="270" t="s">
        <v>1939</v>
      </c>
    </row>
    <row r="424" spans="1:12" ht="21.75" customHeight="1" x14ac:dyDescent="0.25">
      <c r="A424" s="251">
        <v>1</v>
      </c>
      <c r="B424" s="292" t="s">
        <v>1792</v>
      </c>
      <c r="C424" s="253"/>
      <c r="G424" s="270" t="s">
        <v>1666</v>
      </c>
      <c r="K424" s="292">
        <v>119520.8</v>
      </c>
      <c r="L424" s="270" t="s">
        <v>1939</v>
      </c>
    </row>
    <row r="425" spans="1:12" ht="21.75" customHeight="1" x14ac:dyDescent="0.25">
      <c r="A425" s="251">
        <v>1</v>
      </c>
      <c r="B425" s="292" t="s">
        <v>1791</v>
      </c>
      <c r="C425" s="253"/>
      <c r="G425" s="270" t="s">
        <v>1670</v>
      </c>
      <c r="K425" s="292">
        <v>181487.6</v>
      </c>
      <c r="L425" s="270" t="s">
        <v>1939</v>
      </c>
    </row>
    <row r="426" spans="1:12" ht="21.75" customHeight="1" x14ac:dyDescent="0.25">
      <c r="A426" s="251">
        <v>1</v>
      </c>
      <c r="B426" s="292" t="s">
        <v>1790</v>
      </c>
      <c r="C426" s="253"/>
      <c r="G426" s="270" t="s">
        <v>1673</v>
      </c>
      <c r="K426" s="292">
        <v>186867.8</v>
      </c>
      <c r="L426" s="270" t="s">
        <v>1939</v>
      </c>
    </row>
    <row r="427" spans="1:12" ht="21.75" customHeight="1" x14ac:dyDescent="0.25">
      <c r="A427" s="251">
        <v>1</v>
      </c>
      <c r="B427" s="292" t="s">
        <v>1789</v>
      </c>
      <c r="C427" s="253"/>
      <c r="G427" s="270" t="s">
        <v>1674</v>
      </c>
      <c r="K427" s="292">
        <v>189442.4</v>
      </c>
      <c r="L427" s="270" t="s">
        <v>1939</v>
      </c>
    </row>
    <row r="428" spans="1:12" ht="21.75" customHeight="1" x14ac:dyDescent="0.25">
      <c r="A428" s="251">
        <v>1</v>
      </c>
      <c r="B428" s="292" t="s">
        <v>1788</v>
      </c>
      <c r="C428" s="253"/>
      <c r="G428" s="270" t="s">
        <v>1493</v>
      </c>
      <c r="K428" s="292">
        <v>1409.8</v>
      </c>
      <c r="L428" s="270" t="s">
        <v>1939</v>
      </c>
    </row>
    <row r="429" spans="1:12" ht="21.75" customHeight="1" x14ac:dyDescent="0.25">
      <c r="A429" s="251">
        <v>1</v>
      </c>
      <c r="B429" s="292" t="s">
        <v>1787</v>
      </c>
      <c r="C429" s="253"/>
      <c r="G429" s="270" t="s">
        <v>1492</v>
      </c>
      <c r="K429" s="292">
        <v>1239</v>
      </c>
      <c r="L429" s="270" t="s">
        <v>1939</v>
      </c>
    </row>
    <row r="430" spans="1:12" ht="21.75" customHeight="1" x14ac:dyDescent="0.25">
      <c r="A430" s="251">
        <v>1</v>
      </c>
      <c r="B430" s="292" t="s">
        <v>1786</v>
      </c>
      <c r="C430" s="253"/>
      <c r="G430" s="270" t="s">
        <v>1500</v>
      </c>
      <c r="K430" s="292">
        <v>2434.6</v>
      </c>
      <c r="L430" s="270" t="s">
        <v>1939</v>
      </c>
    </row>
    <row r="431" spans="1:12" ht="21.75" customHeight="1" x14ac:dyDescent="0.25">
      <c r="A431" s="251">
        <v>1</v>
      </c>
      <c r="B431" s="292" t="s">
        <v>1785</v>
      </c>
      <c r="C431" s="253"/>
      <c r="G431" s="270" t="s">
        <v>1641</v>
      </c>
      <c r="K431" s="292">
        <v>41014.400000000001</v>
      </c>
      <c r="L431" s="270" t="s">
        <v>1939</v>
      </c>
    </row>
    <row r="432" spans="1:12" ht="21.75" customHeight="1" x14ac:dyDescent="0.25">
      <c r="A432" s="251">
        <v>1</v>
      </c>
      <c r="B432" s="292" t="s">
        <v>1784</v>
      </c>
      <c r="C432" s="253"/>
      <c r="G432" s="270" t="s">
        <v>1646</v>
      </c>
      <c r="K432" s="292">
        <v>44730</v>
      </c>
      <c r="L432" s="270" t="s">
        <v>1939</v>
      </c>
    </row>
    <row r="433" spans="1:12" ht="21.75" customHeight="1" x14ac:dyDescent="0.25">
      <c r="A433" s="251">
        <v>1</v>
      </c>
      <c r="B433" s="292" t="s">
        <v>1783</v>
      </c>
      <c r="C433" s="253"/>
      <c r="G433" s="270" t="s">
        <v>2410</v>
      </c>
      <c r="K433" s="292">
        <v>2396.8000000000002</v>
      </c>
      <c r="L433" s="270" t="s">
        <v>1939</v>
      </c>
    </row>
    <row r="434" spans="1:12" ht="21.75" customHeight="1" x14ac:dyDescent="0.25">
      <c r="A434" s="251">
        <v>1</v>
      </c>
      <c r="B434" s="292" t="s">
        <v>1782</v>
      </c>
      <c r="C434" s="253"/>
      <c r="G434" s="270" t="s">
        <v>1650</v>
      </c>
      <c r="K434" s="292">
        <v>140669.20000000001</v>
      </c>
      <c r="L434" s="270" t="s">
        <v>1939</v>
      </c>
    </row>
    <row r="435" spans="1:12" ht="21.75" customHeight="1" x14ac:dyDescent="0.25">
      <c r="A435" s="251">
        <v>1</v>
      </c>
      <c r="B435" s="292" t="s">
        <v>1781</v>
      </c>
      <c r="C435" s="253"/>
      <c r="G435" s="270" t="s">
        <v>2411</v>
      </c>
      <c r="K435" s="292">
        <v>3746.4</v>
      </c>
      <c r="L435" s="270" t="s">
        <v>1939</v>
      </c>
    </row>
    <row r="436" spans="1:12" ht="21.75" customHeight="1" x14ac:dyDescent="0.25">
      <c r="A436" s="251">
        <v>1</v>
      </c>
      <c r="B436" s="292" t="s">
        <v>1780</v>
      </c>
      <c r="C436" s="253"/>
      <c r="G436" s="270" t="s">
        <v>2412</v>
      </c>
      <c r="K436" s="292">
        <v>18018</v>
      </c>
      <c r="L436" s="270" t="s">
        <v>1939</v>
      </c>
    </row>
    <row r="437" spans="1:12" ht="21.75" customHeight="1" x14ac:dyDescent="0.25">
      <c r="A437" s="251">
        <v>1</v>
      </c>
      <c r="B437" s="292" t="s">
        <v>1779</v>
      </c>
      <c r="C437" s="253"/>
      <c r="G437" s="270" t="s">
        <v>1660</v>
      </c>
      <c r="K437" s="292">
        <v>277709.59999999998</v>
      </c>
      <c r="L437" s="270" t="s">
        <v>1939</v>
      </c>
    </row>
    <row r="438" spans="1:12" ht="21.75" customHeight="1" x14ac:dyDescent="0.25">
      <c r="A438" s="251">
        <v>1</v>
      </c>
      <c r="B438" s="292" t="s">
        <v>1778</v>
      </c>
      <c r="C438" s="253"/>
      <c r="G438" s="270" t="s">
        <v>2413</v>
      </c>
      <c r="K438" s="292">
        <v>19364.8</v>
      </c>
      <c r="L438" s="270" t="s">
        <v>1939</v>
      </c>
    </row>
    <row r="439" spans="1:12" ht="21.75" customHeight="1" x14ac:dyDescent="0.25">
      <c r="A439" s="251">
        <v>1</v>
      </c>
      <c r="B439" s="292" t="s">
        <v>1777</v>
      </c>
      <c r="C439" s="253"/>
      <c r="G439" s="270" t="s">
        <v>2414</v>
      </c>
      <c r="K439" s="292">
        <v>22771</v>
      </c>
      <c r="L439" s="270" t="s">
        <v>1939</v>
      </c>
    </row>
    <row r="440" spans="1:12" ht="21.75" customHeight="1" x14ac:dyDescent="0.25">
      <c r="A440" s="251">
        <v>1</v>
      </c>
      <c r="B440" s="292" t="s">
        <v>1776</v>
      </c>
      <c r="C440" s="253"/>
      <c r="G440" s="270" t="s">
        <v>2415</v>
      </c>
      <c r="K440" s="292">
        <v>23216.2</v>
      </c>
      <c r="L440" s="270" t="s">
        <v>1939</v>
      </c>
    </row>
    <row r="441" spans="1:12" ht="21.75" customHeight="1" x14ac:dyDescent="0.25">
      <c r="A441" s="251">
        <v>1</v>
      </c>
      <c r="B441" s="292" t="s">
        <v>1775</v>
      </c>
      <c r="C441" s="253"/>
      <c r="G441" s="270" t="s">
        <v>1627</v>
      </c>
      <c r="K441" s="292">
        <v>32988.199999999997</v>
      </c>
      <c r="L441" s="270" t="s">
        <v>1939</v>
      </c>
    </row>
    <row r="442" spans="1:12" ht="21.75" customHeight="1" x14ac:dyDescent="0.25">
      <c r="A442" s="251">
        <v>1</v>
      </c>
      <c r="B442" s="292" t="s">
        <v>1774</v>
      </c>
      <c r="C442" s="253"/>
      <c r="G442" s="270" t="s">
        <v>1632</v>
      </c>
      <c r="K442" s="292">
        <v>35133</v>
      </c>
      <c r="L442" s="270" t="s">
        <v>1939</v>
      </c>
    </row>
    <row r="443" spans="1:12" ht="21.75" customHeight="1" x14ac:dyDescent="0.25">
      <c r="A443" s="251">
        <v>1</v>
      </c>
      <c r="B443" s="292" t="s">
        <v>1773</v>
      </c>
      <c r="C443" s="253"/>
      <c r="G443" s="270" t="s">
        <v>1636</v>
      </c>
      <c r="K443" s="292">
        <v>38005.800000000003</v>
      </c>
      <c r="L443" s="270" t="s">
        <v>1939</v>
      </c>
    </row>
    <row r="444" spans="1:12" ht="21.75" customHeight="1" x14ac:dyDescent="0.25">
      <c r="A444" s="251">
        <v>1</v>
      </c>
      <c r="B444" s="292" t="s">
        <v>1772</v>
      </c>
      <c r="C444" s="253"/>
      <c r="G444" s="270" t="s">
        <v>1642</v>
      </c>
      <c r="K444" s="292">
        <v>52672.2</v>
      </c>
      <c r="L444" s="270" t="s">
        <v>1939</v>
      </c>
    </row>
    <row r="445" spans="1:12" ht="21.75" customHeight="1" x14ac:dyDescent="0.25">
      <c r="A445" s="251">
        <v>1</v>
      </c>
      <c r="B445" s="292" t="s">
        <v>1771</v>
      </c>
      <c r="C445" s="253"/>
      <c r="G445" s="270" t="s">
        <v>1648</v>
      </c>
      <c r="K445" s="292">
        <v>57513.4</v>
      </c>
      <c r="L445" s="270" t="s">
        <v>1939</v>
      </c>
    </row>
    <row r="446" spans="1:12" ht="21.75" customHeight="1" x14ac:dyDescent="0.25">
      <c r="A446" s="251">
        <v>1</v>
      </c>
      <c r="B446" s="292" t="s">
        <v>1770</v>
      </c>
      <c r="C446" s="253"/>
      <c r="G446" s="270" t="s">
        <v>1652</v>
      </c>
      <c r="K446" s="292">
        <v>150866.79999999999</v>
      </c>
      <c r="L446" s="270" t="s">
        <v>1939</v>
      </c>
    </row>
    <row r="447" spans="1:12" ht="21.75" customHeight="1" x14ac:dyDescent="0.25">
      <c r="A447" s="251">
        <v>1</v>
      </c>
      <c r="B447" s="292" t="s">
        <v>1769</v>
      </c>
      <c r="C447" s="253"/>
      <c r="G447" s="270" t="s">
        <v>1657</v>
      </c>
      <c r="K447" s="292">
        <v>189616</v>
      </c>
      <c r="L447" s="270" t="s">
        <v>1939</v>
      </c>
    </row>
    <row r="448" spans="1:12" ht="21.75" customHeight="1" x14ac:dyDescent="0.25">
      <c r="A448" s="251">
        <v>1</v>
      </c>
      <c r="B448" s="292" t="s">
        <v>1768</v>
      </c>
      <c r="C448" s="253"/>
      <c r="G448" s="270" t="s">
        <v>1661</v>
      </c>
      <c r="K448" s="292">
        <v>303634.8</v>
      </c>
      <c r="L448" s="270" t="s">
        <v>1939</v>
      </c>
    </row>
    <row r="449" spans="1:12" ht="21.75" customHeight="1" x14ac:dyDescent="0.25">
      <c r="A449" s="251">
        <v>1</v>
      </c>
      <c r="B449" s="292" t="s">
        <v>1767</v>
      </c>
      <c r="C449" s="253"/>
      <c r="G449" s="270" t="s">
        <v>1629</v>
      </c>
      <c r="K449" s="292">
        <v>44493.4</v>
      </c>
      <c r="L449" s="270" t="s">
        <v>1939</v>
      </c>
    </row>
    <row r="450" spans="1:12" ht="21.75" customHeight="1" x14ac:dyDescent="0.25">
      <c r="A450" s="270">
        <v>1</v>
      </c>
      <c r="B450" s="292" t="s">
        <v>1766</v>
      </c>
      <c r="G450" s="270" t="s">
        <v>1633</v>
      </c>
      <c r="K450" s="292">
        <v>47500.6</v>
      </c>
      <c r="L450" s="270" t="s">
        <v>1939</v>
      </c>
    </row>
    <row r="451" spans="1:12" ht="21.75" customHeight="1" x14ac:dyDescent="0.25">
      <c r="A451" s="270">
        <v>1</v>
      </c>
      <c r="B451" s="292" t="s">
        <v>1765</v>
      </c>
      <c r="G451" s="270" t="s">
        <v>1637</v>
      </c>
      <c r="K451" s="292">
        <v>49820.4</v>
      </c>
      <c r="L451" s="270" t="s">
        <v>1939</v>
      </c>
    </row>
    <row r="452" spans="1:12" ht="21.75" customHeight="1" x14ac:dyDescent="0.25">
      <c r="A452" s="270">
        <v>1</v>
      </c>
      <c r="B452" s="292" t="s">
        <v>1764</v>
      </c>
      <c r="G452" s="270" t="s">
        <v>1497</v>
      </c>
      <c r="K452" s="292">
        <v>1979.6</v>
      </c>
      <c r="L452" s="270" t="s">
        <v>1939</v>
      </c>
    </row>
    <row r="453" spans="1:12" ht="21.75" customHeight="1" x14ac:dyDescent="0.25">
      <c r="A453" s="270">
        <v>1</v>
      </c>
      <c r="B453" s="292" t="s">
        <v>1763</v>
      </c>
      <c r="G453" s="270" t="s">
        <v>1502</v>
      </c>
      <c r="K453" s="292">
        <v>3844.4</v>
      </c>
      <c r="L453" s="270" t="s">
        <v>1939</v>
      </c>
    </row>
    <row r="454" spans="1:12" ht="21.75" customHeight="1" x14ac:dyDescent="0.25">
      <c r="A454" s="270">
        <v>1</v>
      </c>
      <c r="B454" s="292" t="s">
        <v>1762</v>
      </c>
      <c r="G454" s="270" t="s">
        <v>2416</v>
      </c>
      <c r="K454" s="292">
        <v>5548.2</v>
      </c>
      <c r="L454" s="270" t="s">
        <v>1939</v>
      </c>
    </row>
    <row r="455" spans="1:12" ht="21.75" customHeight="1" x14ac:dyDescent="0.25">
      <c r="A455" s="270">
        <v>1</v>
      </c>
      <c r="B455" s="292" t="s">
        <v>1761</v>
      </c>
      <c r="G455" s="270" t="s">
        <v>2417</v>
      </c>
      <c r="K455" s="292">
        <v>2991.8</v>
      </c>
      <c r="L455" s="270" t="s">
        <v>1939</v>
      </c>
    </row>
    <row r="456" spans="1:12" ht="21.75" customHeight="1" x14ac:dyDescent="0.25">
      <c r="A456" s="270">
        <v>1</v>
      </c>
      <c r="B456" s="292" t="s">
        <v>1760</v>
      </c>
      <c r="G456" s="270" t="s">
        <v>1496</v>
      </c>
      <c r="K456" s="292">
        <v>1779.4</v>
      </c>
      <c r="L456" s="270" t="s">
        <v>1939</v>
      </c>
    </row>
    <row r="457" spans="1:12" ht="21.75" customHeight="1" x14ac:dyDescent="0.25">
      <c r="A457" s="270">
        <v>1</v>
      </c>
      <c r="B457" s="292" t="s">
        <v>1759</v>
      </c>
      <c r="G457" s="270" t="s">
        <v>2418</v>
      </c>
      <c r="K457" s="292">
        <v>24071.599999999999</v>
      </c>
      <c r="L457" s="270" t="s">
        <v>1939</v>
      </c>
    </row>
    <row r="458" spans="1:12" ht="21.75" customHeight="1" x14ac:dyDescent="0.25">
      <c r="A458" s="270">
        <v>1</v>
      </c>
      <c r="B458" s="292" t="s">
        <v>1758</v>
      </c>
      <c r="G458" s="270" t="s">
        <v>2419</v>
      </c>
      <c r="K458" s="292">
        <v>26959.8</v>
      </c>
      <c r="L458" s="270" t="s">
        <v>1939</v>
      </c>
    </row>
    <row r="459" spans="1:12" ht="21.75" customHeight="1" x14ac:dyDescent="0.25">
      <c r="A459" s="270">
        <v>1</v>
      </c>
      <c r="B459" s="292" t="s">
        <v>1757</v>
      </c>
      <c r="G459" s="270" t="s">
        <v>2420</v>
      </c>
      <c r="K459" s="292">
        <v>32004</v>
      </c>
      <c r="L459" s="270" t="s">
        <v>1939</v>
      </c>
    </row>
    <row r="460" spans="1:12" ht="21.75" customHeight="1" x14ac:dyDescent="0.25">
      <c r="A460" s="270">
        <v>1</v>
      </c>
      <c r="B460" s="292" t="s">
        <v>1756</v>
      </c>
      <c r="G460" s="270" t="s">
        <v>1471</v>
      </c>
      <c r="K460" s="292">
        <v>1737.4</v>
      </c>
      <c r="L460" s="270" t="s">
        <v>1939</v>
      </c>
    </row>
    <row r="461" spans="1:12" ht="21.75" customHeight="1" x14ac:dyDescent="0.25">
      <c r="A461" s="270">
        <v>1</v>
      </c>
      <c r="B461" s="292" t="s">
        <v>1755</v>
      </c>
      <c r="G461" s="270" t="s">
        <v>1470</v>
      </c>
      <c r="K461" s="292">
        <v>1239</v>
      </c>
      <c r="L461" s="270" t="s">
        <v>1939</v>
      </c>
    </row>
    <row r="462" spans="1:12" ht="21.75" customHeight="1" x14ac:dyDescent="0.25">
      <c r="A462" s="270">
        <v>1</v>
      </c>
      <c r="B462" s="292" t="s">
        <v>1754</v>
      </c>
      <c r="G462" s="270" t="s">
        <v>1481</v>
      </c>
      <c r="K462" s="292">
        <v>2434.6</v>
      </c>
      <c r="L462" s="270" t="s">
        <v>1939</v>
      </c>
    </row>
    <row r="463" spans="1:12" ht="21.75" customHeight="1" x14ac:dyDescent="0.25">
      <c r="A463" s="270">
        <v>1</v>
      </c>
      <c r="B463" s="296" t="s">
        <v>1753</v>
      </c>
      <c r="C463" s="297"/>
      <c r="D463" s="297"/>
      <c r="E463" s="297"/>
      <c r="F463" s="297"/>
      <c r="G463" s="297" t="s">
        <v>1482</v>
      </c>
      <c r="H463" s="297"/>
      <c r="I463" s="297"/>
      <c r="J463" s="297"/>
      <c r="K463" s="296">
        <v>2690.8</v>
      </c>
      <c r="L463" s="270" t="s">
        <v>1939</v>
      </c>
    </row>
    <row r="464" spans="1:12" ht="21.75" customHeight="1" x14ac:dyDescent="0.25">
      <c r="A464" s="270">
        <v>1</v>
      </c>
      <c r="B464" s="296" t="s">
        <v>1752</v>
      </c>
      <c r="C464" s="297"/>
      <c r="D464" s="297"/>
      <c r="E464" s="297"/>
      <c r="F464" s="297"/>
      <c r="G464" s="297" t="s">
        <v>1587</v>
      </c>
      <c r="H464" s="297"/>
      <c r="I464" s="297"/>
      <c r="J464" s="297"/>
      <c r="K464" s="296">
        <v>36628.199999999997</v>
      </c>
      <c r="L464" s="270" t="s">
        <v>1939</v>
      </c>
    </row>
    <row r="465" spans="1:12" ht="21.75" customHeight="1" x14ac:dyDescent="0.25">
      <c r="A465" s="270">
        <v>1</v>
      </c>
      <c r="B465" s="296" t="s">
        <v>1751</v>
      </c>
      <c r="C465" s="297"/>
      <c r="D465" s="297"/>
      <c r="E465" s="297"/>
      <c r="F465" s="297"/>
      <c r="G465" s="297" t="s">
        <v>1588</v>
      </c>
      <c r="H465" s="297"/>
      <c r="I465" s="297"/>
      <c r="J465" s="297"/>
      <c r="K465" s="296">
        <v>38404.800000000003</v>
      </c>
      <c r="L465" s="270" t="s">
        <v>1939</v>
      </c>
    </row>
    <row r="466" spans="1:12" ht="21.75" customHeight="1" x14ac:dyDescent="0.25">
      <c r="A466" s="270">
        <v>1</v>
      </c>
      <c r="B466" s="296" t="s">
        <v>1750</v>
      </c>
      <c r="C466" s="297"/>
      <c r="D466" s="297"/>
      <c r="E466" s="297"/>
      <c r="F466" s="297"/>
      <c r="G466" s="297" t="s">
        <v>1596</v>
      </c>
      <c r="H466" s="297"/>
      <c r="I466" s="297"/>
      <c r="J466" s="297"/>
      <c r="K466" s="296">
        <v>41300</v>
      </c>
      <c r="L466" s="270" t="s">
        <v>1939</v>
      </c>
    </row>
    <row r="467" spans="1:12" ht="21.75" customHeight="1" x14ac:dyDescent="0.25">
      <c r="A467" s="270">
        <v>1</v>
      </c>
      <c r="B467" s="296" t="s">
        <v>1749</v>
      </c>
      <c r="C467" s="297"/>
      <c r="D467" s="297"/>
      <c r="E467" s="297"/>
      <c r="F467" s="297"/>
      <c r="G467" s="297" t="s">
        <v>1597</v>
      </c>
      <c r="H467" s="297"/>
      <c r="I467" s="297"/>
      <c r="J467" s="297"/>
      <c r="K467" s="296">
        <v>43076.6</v>
      </c>
      <c r="L467" s="270" t="s">
        <v>1939</v>
      </c>
    </row>
    <row r="468" spans="1:12" ht="21.75" customHeight="1" x14ac:dyDescent="0.25">
      <c r="A468" s="270">
        <v>1</v>
      </c>
      <c r="B468" s="296" t="s">
        <v>1748</v>
      </c>
      <c r="C468" s="297"/>
      <c r="D468" s="297"/>
      <c r="E468" s="297"/>
      <c r="F468" s="297"/>
      <c r="G468" s="297" t="s">
        <v>1472</v>
      </c>
      <c r="H468" s="297"/>
      <c r="I468" s="297"/>
      <c r="J468" s="297"/>
      <c r="K468" s="296">
        <v>2396.8000000000002</v>
      </c>
      <c r="L468" s="270" t="s">
        <v>1939</v>
      </c>
    </row>
    <row r="469" spans="1:12" ht="21.75" customHeight="1" x14ac:dyDescent="0.25">
      <c r="A469" s="270">
        <v>1</v>
      </c>
      <c r="B469" s="296" t="s">
        <v>1747</v>
      </c>
      <c r="C469" s="297"/>
      <c r="D469" s="297"/>
      <c r="E469" s="297"/>
      <c r="F469" s="297"/>
      <c r="G469" s="297" t="s">
        <v>1602</v>
      </c>
      <c r="H469" s="297"/>
      <c r="I469" s="297"/>
      <c r="J469" s="297"/>
      <c r="K469" s="296">
        <v>119263.2</v>
      </c>
      <c r="L469" s="270" t="s">
        <v>1939</v>
      </c>
    </row>
    <row r="470" spans="1:12" ht="21.75" customHeight="1" x14ac:dyDescent="0.25">
      <c r="A470" s="270">
        <v>1</v>
      </c>
      <c r="B470" s="296" t="s">
        <v>1746</v>
      </c>
      <c r="C470" s="297"/>
      <c r="D470" s="297"/>
      <c r="E470" s="297"/>
      <c r="F470" s="297"/>
      <c r="G470" s="297" t="s">
        <v>1603</v>
      </c>
      <c r="H470" s="297"/>
      <c r="I470" s="297"/>
      <c r="J470" s="297"/>
      <c r="K470" s="296">
        <v>121065</v>
      </c>
      <c r="L470" s="270" t="s">
        <v>1939</v>
      </c>
    </row>
    <row r="471" spans="1:12" ht="21.75" customHeight="1" x14ac:dyDescent="0.25">
      <c r="A471" s="270">
        <v>1</v>
      </c>
      <c r="B471" s="296" t="s">
        <v>1745</v>
      </c>
      <c r="C471" s="297"/>
      <c r="D471" s="297"/>
      <c r="E471" s="297"/>
      <c r="F471" s="297"/>
      <c r="G471" s="297" t="s">
        <v>1483</v>
      </c>
      <c r="H471" s="297"/>
      <c r="I471" s="297"/>
      <c r="J471" s="297"/>
      <c r="K471" s="296">
        <v>3746.4</v>
      </c>
      <c r="L471" s="270" t="s">
        <v>1939</v>
      </c>
    </row>
    <row r="472" spans="1:12" ht="21.75" customHeight="1" x14ac:dyDescent="0.25">
      <c r="A472" s="270">
        <v>1</v>
      </c>
      <c r="B472" s="296" t="s">
        <v>1744</v>
      </c>
      <c r="C472" s="297"/>
      <c r="D472" s="297"/>
      <c r="E472" s="297"/>
      <c r="F472" s="297"/>
      <c r="G472" s="297" t="s">
        <v>1610</v>
      </c>
      <c r="H472" s="297"/>
      <c r="I472" s="297"/>
      <c r="J472" s="297"/>
      <c r="K472" s="296">
        <v>155890</v>
      </c>
      <c r="L472" s="270" t="s">
        <v>1939</v>
      </c>
    </row>
    <row r="473" spans="1:12" ht="21.75" customHeight="1" x14ac:dyDescent="0.25">
      <c r="A473" s="270">
        <v>1</v>
      </c>
      <c r="B473" s="296" t="s">
        <v>1743</v>
      </c>
      <c r="C473" s="297"/>
      <c r="D473" s="297"/>
      <c r="E473" s="297"/>
      <c r="F473" s="297"/>
      <c r="G473" s="297" t="s">
        <v>1611</v>
      </c>
      <c r="H473" s="297"/>
      <c r="I473" s="297"/>
      <c r="J473" s="297"/>
      <c r="K473" s="296">
        <v>157691.79999999999</v>
      </c>
      <c r="L473" s="270" t="s">
        <v>1939</v>
      </c>
    </row>
    <row r="474" spans="1:12" ht="21.75" customHeight="1" x14ac:dyDescent="0.25">
      <c r="A474" s="270">
        <v>1</v>
      </c>
      <c r="B474" s="296" t="s">
        <v>1742</v>
      </c>
      <c r="C474" s="297"/>
      <c r="D474" s="297"/>
      <c r="E474" s="297"/>
      <c r="F474" s="297"/>
      <c r="G474" s="297" t="s">
        <v>2421</v>
      </c>
      <c r="H474" s="297"/>
      <c r="I474" s="297"/>
      <c r="J474" s="297"/>
      <c r="K474" s="296">
        <v>20270.599999999999</v>
      </c>
      <c r="L474" s="270" t="s">
        <v>1939</v>
      </c>
    </row>
    <row r="475" spans="1:12" ht="21.75" customHeight="1" x14ac:dyDescent="0.25">
      <c r="A475" s="270">
        <v>1</v>
      </c>
      <c r="B475" s="296" t="s">
        <v>1741</v>
      </c>
      <c r="C475" s="297"/>
      <c r="D475" s="297"/>
      <c r="E475" s="297"/>
      <c r="F475" s="297"/>
      <c r="G475" s="297" t="s">
        <v>1617</v>
      </c>
      <c r="H475" s="297"/>
      <c r="I475" s="297"/>
      <c r="J475" s="297"/>
      <c r="K475" s="296">
        <v>239814.39999999999</v>
      </c>
      <c r="L475" s="270" t="s">
        <v>1939</v>
      </c>
    </row>
    <row r="476" spans="1:12" ht="21.75" customHeight="1" x14ac:dyDescent="0.25">
      <c r="A476" s="270">
        <v>1</v>
      </c>
      <c r="B476" s="296" t="s">
        <v>1740</v>
      </c>
      <c r="C476" s="297"/>
      <c r="D476" s="297"/>
      <c r="E476" s="297"/>
      <c r="F476" s="297"/>
      <c r="G476" s="297" t="s">
        <v>1618</v>
      </c>
      <c r="H476" s="297"/>
      <c r="I476" s="297"/>
      <c r="J476" s="297"/>
      <c r="K476" s="296">
        <v>241616.2</v>
      </c>
      <c r="L476" s="270" t="s">
        <v>1939</v>
      </c>
    </row>
    <row r="477" spans="1:12" ht="21.75" customHeight="1" x14ac:dyDescent="0.25">
      <c r="A477" s="270">
        <v>1</v>
      </c>
      <c r="B477" s="296" t="s">
        <v>1739</v>
      </c>
      <c r="C477" s="297"/>
      <c r="D477" s="297"/>
      <c r="E477" s="297"/>
      <c r="F477" s="297"/>
      <c r="G477" s="297" t="s">
        <v>2422</v>
      </c>
      <c r="H477" s="297"/>
      <c r="I477" s="297"/>
      <c r="J477" s="297"/>
      <c r="K477" s="296">
        <v>15771</v>
      </c>
      <c r="L477" s="270" t="s">
        <v>1939</v>
      </c>
    </row>
    <row r="478" spans="1:12" ht="21.75" customHeight="1" x14ac:dyDescent="0.25">
      <c r="A478" s="270">
        <v>1</v>
      </c>
      <c r="B478" s="296" t="s">
        <v>1738</v>
      </c>
      <c r="C478" s="297"/>
      <c r="D478" s="297"/>
      <c r="E478" s="297"/>
      <c r="F478" s="297"/>
      <c r="G478" s="297" t="s">
        <v>2423</v>
      </c>
      <c r="H478" s="297"/>
      <c r="I478" s="297"/>
      <c r="J478" s="297"/>
      <c r="K478" s="296">
        <v>16630.599999999999</v>
      </c>
      <c r="L478" s="270" t="s">
        <v>1939</v>
      </c>
    </row>
    <row r="479" spans="1:12" ht="21.75" customHeight="1" x14ac:dyDescent="0.25">
      <c r="A479" s="270">
        <v>1</v>
      </c>
      <c r="B479" s="296" t="s">
        <v>1737</v>
      </c>
      <c r="C479" s="297"/>
      <c r="D479" s="297"/>
      <c r="E479" s="297"/>
      <c r="F479" s="297"/>
      <c r="G479" s="297" t="s">
        <v>2424</v>
      </c>
      <c r="H479" s="297"/>
      <c r="I479" s="297"/>
      <c r="J479" s="297"/>
      <c r="K479" s="296">
        <v>20918.8</v>
      </c>
      <c r="L479" s="270" t="s">
        <v>1939</v>
      </c>
    </row>
    <row r="480" spans="1:12" ht="21.75" customHeight="1" x14ac:dyDescent="0.25">
      <c r="A480" s="270">
        <v>1</v>
      </c>
      <c r="B480" s="296" t="s">
        <v>1736</v>
      </c>
      <c r="C480" s="297"/>
      <c r="D480" s="297"/>
      <c r="E480" s="297"/>
      <c r="F480" s="297"/>
      <c r="G480" s="297" t="s">
        <v>2425</v>
      </c>
      <c r="H480" s="297"/>
      <c r="I480" s="297"/>
      <c r="J480" s="297"/>
      <c r="K480" s="296">
        <v>24579.8</v>
      </c>
      <c r="L480" s="270" t="s">
        <v>1939</v>
      </c>
    </row>
    <row r="481" spans="1:12" ht="21.75" customHeight="1" x14ac:dyDescent="0.25">
      <c r="A481" s="270">
        <v>1</v>
      </c>
      <c r="B481" s="296" t="s">
        <v>1735</v>
      </c>
      <c r="C481" s="297"/>
      <c r="D481" s="297"/>
      <c r="E481" s="297"/>
      <c r="F481" s="297"/>
      <c r="G481" s="297" t="s">
        <v>2426</v>
      </c>
      <c r="H481" s="297"/>
      <c r="I481" s="297"/>
      <c r="J481" s="297"/>
      <c r="K481" s="296">
        <v>21322</v>
      </c>
      <c r="L481" s="270" t="s">
        <v>1939</v>
      </c>
    </row>
    <row r="482" spans="1:12" ht="21.75" customHeight="1" x14ac:dyDescent="0.25">
      <c r="A482" s="270">
        <v>1</v>
      </c>
      <c r="B482" s="296" t="s">
        <v>1734</v>
      </c>
      <c r="C482" s="297"/>
      <c r="D482" s="297"/>
      <c r="E482" s="297"/>
      <c r="F482" s="297"/>
      <c r="G482" s="297" t="s">
        <v>1562</v>
      </c>
      <c r="H482" s="297"/>
      <c r="I482" s="297"/>
      <c r="J482" s="297"/>
      <c r="K482" s="296">
        <v>29059.8</v>
      </c>
      <c r="L482" s="270" t="s">
        <v>1939</v>
      </c>
    </row>
    <row r="483" spans="1:12" ht="21.75" customHeight="1" x14ac:dyDescent="0.25">
      <c r="A483" s="270">
        <v>1</v>
      </c>
      <c r="B483" s="296" t="s">
        <v>1733</v>
      </c>
      <c r="C483" s="297"/>
      <c r="D483" s="297"/>
      <c r="E483" s="297"/>
      <c r="F483" s="297"/>
      <c r="G483" s="297" t="s">
        <v>1563</v>
      </c>
      <c r="H483" s="297"/>
      <c r="I483" s="297"/>
      <c r="J483" s="297"/>
      <c r="K483" s="296">
        <v>30836.400000000001</v>
      </c>
      <c r="L483" s="270" t="s">
        <v>1939</v>
      </c>
    </row>
    <row r="484" spans="1:12" ht="21.75" customHeight="1" x14ac:dyDescent="0.25">
      <c r="A484" s="270">
        <v>1</v>
      </c>
      <c r="B484" s="296" t="s">
        <v>1732</v>
      </c>
      <c r="C484" s="297"/>
      <c r="D484" s="297"/>
      <c r="E484" s="297"/>
      <c r="F484" s="297"/>
      <c r="G484" s="297" t="s">
        <v>1570</v>
      </c>
      <c r="H484" s="297"/>
      <c r="I484" s="297"/>
      <c r="J484" s="297"/>
      <c r="K484" s="296">
        <v>30765</v>
      </c>
      <c r="L484" s="270" t="s">
        <v>1939</v>
      </c>
    </row>
    <row r="485" spans="1:12" ht="21.75" customHeight="1" x14ac:dyDescent="0.25">
      <c r="A485" s="270">
        <v>1</v>
      </c>
      <c r="B485" s="296" t="s">
        <v>1731</v>
      </c>
      <c r="C485" s="297"/>
      <c r="D485" s="297"/>
      <c r="E485" s="297"/>
      <c r="F485" s="297"/>
      <c r="G485" s="297" t="s">
        <v>1571</v>
      </c>
      <c r="H485" s="297"/>
      <c r="I485" s="297"/>
      <c r="J485" s="297"/>
      <c r="K485" s="296">
        <v>32541.599999999999</v>
      </c>
      <c r="L485" s="270" t="s">
        <v>1939</v>
      </c>
    </row>
    <row r="486" spans="1:12" ht="21.75" customHeight="1" x14ac:dyDescent="0.25">
      <c r="A486" s="270">
        <v>1</v>
      </c>
      <c r="B486" s="296" t="s">
        <v>1730</v>
      </c>
      <c r="C486" s="297"/>
      <c r="D486" s="297"/>
      <c r="E486" s="297"/>
      <c r="F486" s="297"/>
      <c r="G486" s="297" t="s">
        <v>1578</v>
      </c>
      <c r="H486" s="297"/>
      <c r="I486" s="297"/>
      <c r="J486" s="297"/>
      <c r="K486" s="296">
        <v>34367.199999999997</v>
      </c>
      <c r="L486" s="270" t="s">
        <v>1939</v>
      </c>
    </row>
    <row r="487" spans="1:12" ht="21.75" customHeight="1" x14ac:dyDescent="0.25">
      <c r="A487" s="270">
        <v>1</v>
      </c>
      <c r="B487" s="296" t="s">
        <v>1729</v>
      </c>
      <c r="C487" s="297"/>
      <c r="D487" s="297"/>
      <c r="E487" s="297"/>
      <c r="F487" s="297"/>
      <c r="G487" s="297" t="s">
        <v>1579</v>
      </c>
      <c r="H487" s="297"/>
      <c r="I487" s="297"/>
      <c r="J487" s="297"/>
      <c r="K487" s="296">
        <v>36143.800000000003</v>
      </c>
      <c r="L487" s="270" t="s">
        <v>1939</v>
      </c>
    </row>
    <row r="488" spans="1:12" ht="21.75" customHeight="1" x14ac:dyDescent="0.25">
      <c r="A488" s="270">
        <v>1</v>
      </c>
      <c r="B488" s="296" t="s">
        <v>1728</v>
      </c>
      <c r="C488" s="297"/>
      <c r="D488" s="297"/>
      <c r="E488" s="297"/>
      <c r="F488" s="297"/>
      <c r="G488" s="297" t="s">
        <v>1591</v>
      </c>
      <c r="H488" s="297"/>
      <c r="I488" s="297"/>
      <c r="J488" s="297"/>
      <c r="K488" s="296">
        <v>39768.400000000001</v>
      </c>
      <c r="L488" s="270" t="s">
        <v>1939</v>
      </c>
    </row>
    <row r="489" spans="1:12" ht="21.75" customHeight="1" x14ac:dyDescent="0.25">
      <c r="A489" s="270">
        <v>1</v>
      </c>
      <c r="B489" s="296" t="s">
        <v>1727</v>
      </c>
      <c r="C489" s="297"/>
      <c r="D489" s="297"/>
      <c r="E489" s="297"/>
      <c r="F489" s="297"/>
      <c r="G489" s="297" t="s">
        <v>1599</v>
      </c>
      <c r="H489" s="297"/>
      <c r="I489" s="297"/>
      <c r="J489" s="297"/>
      <c r="K489" s="296">
        <v>45705.8</v>
      </c>
      <c r="L489" s="270" t="s">
        <v>1939</v>
      </c>
    </row>
    <row r="490" spans="1:12" ht="21.75" customHeight="1" x14ac:dyDescent="0.25">
      <c r="A490" s="270">
        <v>1</v>
      </c>
      <c r="B490" s="296" t="s">
        <v>1726</v>
      </c>
      <c r="C490" s="297"/>
      <c r="D490" s="297"/>
      <c r="E490" s="297"/>
      <c r="F490" s="297"/>
      <c r="G490" s="297" t="s">
        <v>1606</v>
      </c>
      <c r="H490" s="297"/>
      <c r="I490" s="297"/>
      <c r="J490" s="297"/>
      <c r="K490" s="296">
        <v>127008</v>
      </c>
      <c r="L490" s="270" t="s">
        <v>1939</v>
      </c>
    </row>
    <row r="491" spans="1:12" ht="21.75" customHeight="1" x14ac:dyDescent="0.25">
      <c r="A491" s="270">
        <v>1</v>
      </c>
      <c r="B491" s="296" t="s">
        <v>1725</v>
      </c>
      <c r="C491" s="297"/>
      <c r="D491" s="297"/>
      <c r="E491" s="297"/>
      <c r="F491" s="297"/>
      <c r="G491" s="297" t="s">
        <v>1614</v>
      </c>
      <c r="H491" s="297"/>
      <c r="I491" s="297"/>
      <c r="J491" s="297"/>
      <c r="K491" s="296">
        <v>169402</v>
      </c>
      <c r="L491" s="270" t="s">
        <v>1939</v>
      </c>
    </row>
    <row r="492" spans="1:12" ht="21.75" customHeight="1" x14ac:dyDescent="0.25">
      <c r="A492" s="270">
        <v>1</v>
      </c>
      <c r="B492" s="296" t="s">
        <v>1724</v>
      </c>
      <c r="C492" s="297"/>
      <c r="D492" s="297"/>
      <c r="E492" s="297"/>
      <c r="F492" s="297"/>
      <c r="G492" s="297" t="s">
        <v>1620</v>
      </c>
      <c r="H492" s="297"/>
      <c r="I492" s="297"/>
      <c r="J492" s="297"/>
      <c r="K492" s="296">
        <v>256296.6</v>
      </c>
      <c r="L492" s="270" t="s">
        <v>1939</v>
      </c>
    </row>
    <row r="493" spans="1:12" ht="21.75" customHeight="1" x14ac:dyDescent="0.25">
      <c r="A493" s="270">
        <v>1</v>
      </c>
      <c r="B493" s="296" t="s">
        <v>1723</v>
      </c>
      <c r="C493" s="297"/>
      <c r="D493" s="297"/>
      <c r="E493" s="297"/>
      <c r="F493" s="297"/>
      <c r="G493" s="297" t="s">
        <v>1566</v>
      </c>
      <c r="H493" s="297"/>
      <c r="I493" s="297"/>
      <c r="J493" s="297"/>
      <c r="K493" s="296">
        <v>32547.200000000001</v>
      </c>
      <c r="L493" s="270" t="s">
        <v>1939</v>
      </c>
    </row>
    <row r="494" spans="1:12" ht="21.75" customHeight="1" x14ac:dyDescent="0.25">
      <c r="A494" s="270">
        <v>1</v>
      </c>
      <c r="B494" s="296" t="s">
        <v>1722</v>
      </c>
      <c r="C494" s="297"/>
      <c r="D494" s="297"/>
      <c r="E494" s="297"/>
      <c r="F494" s="297"/>
      <c r="G494" s="297" t="s">
        <v>1567</v>
      </c>
      <c r="H494" s="297"/>
      <c r="I494" s="297"/>
      <c r="J494" s="297"/>
      <c r="K494" s="296">
        <v>34323.800000000003</v>
      </c>
      <c r="L494" s="270" t="s">
        <v>1939</v>
      </c>
    </row>
    <row r="495" spans="1:12" ht="21.75" customHeight="1" x14ac:dyDescent="0.25">
      <c r="A495" s="270">
        <v>1</v>
      </c>
      <c r="B495" s="296" t="s">
        <v>1721</v>
      </c>
      <c r="C495" s="297"/>
      <c r="D495" s="297"/>
      <c r="E495" s="297"/>
      <c r="F495" s="297"/>
      <c r="G495" s="297" t="s">
        <v>2427</v>
      </c>
      <c r="H495" s="297"/>
      <c r="I495" s="297"/>
      <c r="J495" s="297"/>
      <c r="K495" s="296">
        <v>35497</v>
      </c>
      <c r="L495" s="270" t="s">
        <v>1939</v>
      </c>
    </row>
    <row r="496" spans="1:12" ht="21.75" customHeight="1" x14ac:dyDescent="0.25">
      <c r="A496" s="270">
        <v>1</v>
      </c>
      <c r="B496" s="296" t="s">
        <v>1720</v>
      </c>
      <c r="C496" s="297"/>
      <c r="D496" s="297"/>
      <c r="E496" s="297"/>
      <c r="F496" s="297"/>
      <c r="G496" s="297" t="s">
        <v>2428</v>
      </c>
      <c r="H496" s="297"/>
      <c r="I496" s="297"/>
      <c r="J496" s="297"/>
      <c r="K496" s="296">
        <v>36395.800000000003</v>
      </c>
      <c r="L496" s="270" t="s">
        <v>1939</v>
      </c>
    </row>
    <row r="497" spans="1:12" ht="21.75" customHeight="1" x14ac:dyDescent="0.25">
      <c r="A497" s="270">
        <v>1</v>
      </c>
      <c r="B497" s="296" t="s">
        <v>1719</v>
      </c>
      <c r="C497" s="297"/>
      <c r="D497" s="297"/>
      <c r="E497" s="297"/>
      <c r="F497" s="297"/>
      <c r="G497" s="297" t="s">
        <v>1479</v>
      </c>
      <c r="H497" s="297"/>
      <c r="I497" s="297"/>
      <c r="J497" s="297"/>
      <c r="K497" s="296">
        <v>1979.6</v>
      </c>
      <c r="L497" s="270" t="s">
        <v>1939</v>
      </c>
    </row>
    <row r="498" spans="1:12" ht="21.75" customHeight="1" x14ac:dyDescent="0.25">
      <c r="A498" s="270">
        <v>1</v>
      </c>
      <c r="B498" s="296" t="s">
        <v>1718</v>
      </c>
      <c r="C498" s="297"/>
      <c r="D498" s="297"/>
      <c r="E498" s="297"/>
      <c r="F498" s="297"/>
      <c r="G498" s="297" t="s">
        <v>1480</v>
      </c>
      <c r="H498" s="297"/>
      <c r="I498" s="297"/>
      <c r="J498" s="297"/>
      <c r="K498" s="296">
        <v>2235.8000000000002</v>
      </c>
      <c r="L498" s="270" t="s">
        <v>1939</v>
      </c>
    </row>
    <row r="499" spans="1:12" ht="21.75" customHeight="1" x14ac:dyDescent="0.25">
      <c r="A499" s="270">
        <v>1</v>
      </c>
      <c r="B499" s="296" t="s">
        <v>1717</v>
      </c>
      <c r="C499" s="297"/>
      <c r="D499" s="297"/>
      <c r="E499" s="297"/>
      <c r="F499" s="297"/>
      <c r="G499" s="297" t="s">
        <v>1478</v>
      </c>
      <c r="H499" s="297"/>
      <c r="I499" s="297"/>
      <c r="J499" s="297"/>
      <c r="K499" s="296">
        <v>2291.8000000000002</v>
      </c>
      <c r="L499" s="270" t="s">
        <v>1939</v>
      </c>
    </row>
    <row r="500" spans="1:12" ht="21.75" customHeight="1" x14ac:dyDescent="0.25">
      <c r="A500" s="270">
        <v>1</v>
      </c>
      <c r="B500" s="296" t="s">
        <v>1716</v>
      </c>
      <c r="C500" s="297"/>
      <c r="D500" s="297"/>
      <c r="E500" s="297"/>
      <c r="F500" s="297"/>
      <c r="G500" s="297" t="s">
        <v>2429</v>
      </c>
      <c r="H500" s="297"/>
      <c r="I500" s="297"/>
      <c r="J500" s="297"/>
      <c r="K500" s="296">
        <v>5548.2</v>
      </c>
      <c r="L500" s="270" t="s">
        <v>1939</v>
      </c>
    </row>
    <row r="501" spans="1:12" ht="21.75" customHeight="1" x14ac:dyDescent="0.25">
      <c r="A501" s="270">
        <v>1</v>
      </c>
      <c r="B501" s="296" t="s">
        <v>1715</v>
      </c>
      <c r="C501" s="297"/>
      <c r="D501" s="297"/>
      <c r="E501" s="297"/>
      <c r="F501" s="297"/>
      <c r="G501" s="297" t="s">
        <v>1476</v>
      </c>
      <c r="H501" s="297"/>
      <c r="I501" s="297"/>
      <c r="J501" s="297"/>
      <c r="K501" s="296">
        <v>2991.8</v>
      </c>
      <c r="L501" s="270" t="s">
        <v>1939</v>
      </c>
    </row>
    <row r="502" spans="1:12" ht="21.75" customHeight="1" x14ac:dyDescent="0.25">
      <c r="A502" s="270">
        <v>1</v>
      </c>
      <c r="B502" s="296" t="s">
        <v>1714</v>
      </c>
      <c r="C502" s="297"/>
      <c r="D502" s="297"/>
      <c r="E502" s="297"/>
      <c r="F502" s="297"/>
      <c r="G502" s="297" t="s">
        <v>1477</v>
      </c>
      <c r="H502" s="297"/>
      <c r="I502" s="297"/>
      <c r="J502" s="297"/>
      <c r="K502" s="296">
        <v>1779.4</v>
      </c>
      <c r="L502" s="270" t="s">
        <v>1939</v>
      </c>
    </row>
    <row r="503" spans="1:12" ht="21.75" customHeight="1" x14ac:dyDescent="0.25">
      <c r="A503" s="270">
        <v>1</v>
      </c>
      <c r="B503" s="296" t="s">
        <v>1713</v>
      </c>
      <c r="C503" s="297"/>
      <c r="D503" s="297"/>
      <c r="E503" s="297"/>
      <c r="F503" s="297"/>
      <c r="G503" s="297" t="s">
        <v>2430</v>
      </c>
      <c r="H503" s="297"/>
      <c r="I503" s="297"/>
      <c r="J503" s="297"/>
      <c r="K503" s="296">
        <v>16622.2</v>
      </c>
      <c r="L503" s="270" t="s">
        <v>1939</v>
      </c>
    </row>
    <row r="504" spans="1:12" ht="21.75" customHeight="1" x14ac:dyDescent="0.25">
      <c r="A504" s="270">
        <v>1</v>
      </c>
      <c r="B504" s="296" t="s">
        <v>1712</v>
      </c>
      <c r="C504" s="297"/>
      <c r="D504" s="297"/>
      <c r="E504" s="297"/>
      <c r="F504" s="297"/>
      <c r="G504" s="297" t="s">
        <v>2431</v>
      </c>
      <c r="H504" s="297"/>
      <c r="I504" s="297"/>
      <c r="J504" s="297"/>
      <c r="K504" s="296">
        <v>22853.599999999999</v>
      </c>
      <c r="L504" s="270" t="s">
        <v>1939</v>
      </c>
    </row>
    <row r="505" spans="1:12" ht="21.75" customHeight="1" x14ac:dyDescent="0.25">
      <c r="A505" s="270">
        <v>1</v>
      </c>
      <c r="B505" s="296" t="s">
        <v>1711</v>
      </c>
      <c r="C505" s="297"/>
      <c r="D505" s="297"/>
      <c r="E505" s="297"/>
      <c r="F505" s="297"/>
      <c r="G505" s="297" t="s">
        <v>2432</v>
      </c>
      <c r="H505" s="297"/>
      <c r="I505" s="297"/>
      <c r="J505" s="297"/>
      <c r="K505" s="296">
        <v>17691.8</v>
      </c>
      <c r="L505" s="270" t="s">
        <v>1939</v>
      </c>
    </row>
    <row r="506" spans="1:12" ht="21.75" customHeight="1" x14ac:dyDescent="0.25">
      <c r="A506" s="270">
        <v>1</v>
      </c>
      <c r="B506" s="302" t="s">
        <v>1710</v>
      </c>
      <c r="C506" s="297"/>
      <c r="D506" s="297"/>
      <c r="E506" s="297"/>
      <c r="F506" s="297"/>
      <c r="G506" s="297" t="s">
        <v>2433</v>
      </c>
      <c r="H506" s="297"/>
      <c r="I506" s="297"/>
      <c r="J506" s="297"/>
      <c r="K506" s="302">
        <v>23279.200000000001</v>
      </c>
      <c r="L506" s="270" t="s">
        <v>1939</v>
      </c>
    </row>
    <row r="507" spans="1:12" ht="21.75" customHeight="1" x14ac:dyDescent="0.25">
      <c r="A507" s="270">
        <v>1</v>
      </c>
      <c r="B507" s="302" t="s">
        <v>1709</v>
      </c>
      <c r="C507" s="297"/>
      <c r="D507" s="297"/>
      <c r="E507" s="297"/>
      <c r="F507" s="297"/>
      <c r="G507" s="297" t="s">
        <v>2434</v>
      </c>
      <c r="H507" s="297"/>
      <c r="I507" s="297"/>
      <c r="J507" s="297"/>
      <c r="K507" s="302">
        <v>21357</v>
      </c>
      <c r="L507" s="270" t="s">
        <v>1939</v>
      </c>
    </row>
    <row r="508" spans="1:12" ht="21.75" customHeight="1" x14ac:dyDescent="0.25">
      <c r="A508" s="270">
        <v>1</v>
      </c>
      <c r="B508" s="302" t="s">
        <v>1708</v>
      </c>
      <c r="C508" s="297"/>
      <c r="D508" s="297"/>
      <c r="E508" s="297"/>
      <c r="F508" s="297"/>
      <c r="G508" s="297" t="s">
        <v>2435</v>
      </c>
      <c r="H508" s="297"/>
      <c r="I508" s="297"/>
      <c r="J508" s="297"/>
      <c r="K508" s="302">
        <v>27588.400000000001</v>
      </c>
      <c r="L508" s="270" t="s">
        <v>1939</v>
      </c>
    </row>
    <row r="509" spans="1:12" ht="21.75" customHeight="1" x14ac:dyDescent="0.25">
      <c r="A509" s="270">
        <v>1</v>
      </c>
      <c r="B509" s="302" t="s">
        <v>2436</v>
      </c>
      <c r="C509" s="297"/>
      <c r="D509" s="297"/>
      <c r="E509" s="297"/>
      <c r="F509" s="297"/>
      <c r="G509" s="297" t="s">
        <v>2437</v>
      </c>
      <c r="H509" s="297"/>
      <c r="I509" s="297"/>
      <c r="J509" s="297"/>
      <c r="K509" s="302">
        <v>63240</v>
      </c>
      <c r="L509" s="270" t="s">
        <v>1939</v>
      </c>
    </row>
    <row r="510" spans="1:12" ht="21.75" customHeight="1" x14ac:dyDescent="0.25">
      <c r="A510" s="270">
        <v>1</v>
      </c>
      <c r="B510" s="302" t="s">
        <v>2438</v>
      </c>
      <c r="C510" s="297"/>
      <c r="D510" s="297"/>
      <c r="E510" s="297"/>
      <c r="F510" s="297"/>
      <c r="G510" s="297" t="s">
        <v>2439</v>
      </c>
      <c r="H510" s="297"/>
      <c r="I510" s="297"/>
      <c r="J510" s="297"/>
      <c r="K510" s="302">
        <v>32940</v>
      </c>
      <c r="L510" s="270" t="s">
        <v>1939</v>
      </c>
    </row>
    <row r="511" spans="1:12" ht="21.75" customHeight="1" x14ac:dyDescent="0.25">
      <c r="A511" s="270">
        <v>1</v>
      </c>
      <c r="B511" s="302" t="s">
        <v>2440</v>
      </c>
      <c r="C511" s="297"/>
      <c r="D511" s="297"/>
      <c r="E511" s="297"/>
      <c r="F511" s="297"/>
      <c r="G511" s="297" t="s">
        <v>2441</v>
      </c>
      <c r="H511" s="297"/>
      <c r="I511" s="297"/>
      <c r="J511" s="297"/>
      <c r="K511" s="302">
        <v>78660</v>
      </c>
      <c r="L511" s="270" t="s">
        <v>1939</v>
      </c>
    </row>
    <row r="512" spans="1:12" ht="21.75" customHeight="1" x14ac:dyDescent="0.25">
      <c r="A512" s="270">
        <v>1</v>
      </c>
      <c r="B512" s="302" t="s">
        <v>2442</v>
      </c>
      <c r="C512" s="297"/>
      <c r="D512" s="297"/>
      <c r="E512" s="297"/>
      <c r="F512" s="297"/>
      <c r="G512" s="297" t="s">
        <v>2443</v>
      </c>
      <c r="H512" s="297"/>
      <c r="I512" s="297"/>
      <c r="J512" s="297"/>
      <c r="K512" s="302">
        <v>25320</v>
      </c>
      <c r="L512" s="270" t="s">
        <v>1939</v>
      </c>
    </row>
    <row r="513" spans="1:12" ht="21.75" customHeight="1" x14ac:dyDescent="0.25">
      <c r="A513" s="270">
        <v>1</v>
      </c>
      <c r="B513" s="302" t="s">
        <v>2444</v>
      </c>
      <c r="C513" s="297"/>
      <c r="D513" s="297"/>
      <c r="E513" s="297"/>
      <c r="F513" s="297"/>
      <c r="G513" s="297" t="s">
        <v>2445</v>
      </c>
      <c r="H513" s="297"/>
      <c r="I513" s="297"/>
      <c r="J513" s="297"/>
      <c r="K513" s="302">
        <v>26640</v>
      </c>
      <c r="L513" s="270" t="s">
        <v>1939</v>
      </c>
    </row>
    <row r="514" spans="1:12" ht="21.75" customHeight="1" x14ac:dyDescent="0.25">
      <c r="A514" s="270">
        <v>1</v>
      </c>
      <c r="B514" s="302" t="s">
        <v>2446</v>
      </c>
      <c r="C514" s="297"/>
      <c r="D514" s="297"/>
      <c r="E514" s="297"/>
      <c r="F514" s="297"/>
      <c r="G514" s="297" t="s">
        <v>2447</v>
      </c>
      <c r="H514" s="297"/>
      <c r="I514" s="297"/>
      <c r="J514" s="297"/>
      <c r="K514" s="302">
        <v>33720</v>
      </c>
      <c r="L514" s="270" t="s">
        <v>1939</v>
      </c>
    </row>
    <row r="515" spans="1:12" ht="21.75" customHeight="1" x14ac:dyDescent="0.25">
      <c r="A515" s="270">
        <v>1</v>
      </c>
      <c r="B515" s="302" t="s">
        <v>2448</v>
      </c>
      <c r="C515" s="297"/>
      <c r="D515" s="297"/>
      <c r="E515" s="297"/>
      <c r="F515" s="297"/>
      <c r="G515" s="297" t="s">
        <v>2449</v>
      </c>
      <c r="H515" s="297"/>
      <c r="I515" s="297"/>
      <c r="J515" s="297"/>
      <c r="K515" s="302">
        <v>39840</v>
      </c>
      <c r="L515" s="270" t="s">
        <v>1939</v>
      </c>
    </row>
    <row r="516" spans="1:12" ht="21.75" customHeight="1" x14ac:dyDescent="0.25">
      <c r="A516" s="270">
        <v>1</v>
      </c>
      <c r="B516" s="302" t="s">
        <v>2450</v>
      </c>
      <c r="C516" s="297"/>
      <c r="D516" s="297"/>
      <c r="E516" s="297"/>
      <c r="F516" s="297"/>
      <c r="G516" s="297" t="s">
        <v>2451</v>
      </c>
      <c r="H516" s="297"/>
      <c r="I516" s="297"/>
      <c r="J516" s="297"/>
      <c r="K516" s="302">
        <v>30240</v>
      </c>
      <c r="L516" s="270" t="s">
        <v>1939</v>
      </c>
    </row>
    <row r="517" spans="1:12" ht="21.75" customHeight="1" x14ac:dyDescent="0.25">
      <c r="A517" s="270">
        <v>1</v>
      </c>
      <c r="B517" s="302" t="s">
        <v>2452</v>
      </c>
      <c r="C517" s="297"/>
      <c r="D517" s="297"/>
      <c r="E517" s="297"/>
      <c r="F517" s="297"/>
      <c r="G517" s="297" t="s">
        <v>2453</v>
      </c>
      <c r="H517" s="297"/>
      <c r="I517" s="297"/>
      <c r="J517" s="297"/>
      <c r="K517" s="302">
        <v>29400</v>
      </c>
      <c r="L517" s="270" t="s">
        <v>1939</v>
      </c>
    </row>
    <row r="518" spans="1:12" ht="21.75" customHeight="1" x14ac:dyDescent="0.25">
      <c r="A518" s="270">
        <v>1</v>
      </c>
      <c r="B518" s="302" t="s">
        <v>2454</v>
      </c>
      <c r="C518" s="297"/>
      <c r="D518" s="297"/>
      <c r="E518" s="297"/>
      <c r="F518" s="297"/>
      <c r="G518" s="297" t="s">
        <v>2455</v>
      </c>
      <c r="H518" s="297"/>
      <c r="I518" s="297"/>
      <c r="J518" s="297"/>
      <c r="K518" s="302">
        <v>28800</v>
      </c>
      <c r="L518" s="270" t="s">
        <v>1939</v>
      </c>
    </row>
    <row r="519" spans="1:12" ht="21.75" customHeight="1" x14ac:dyDescent="0.25">
      <c r="A519" s="270">
        <v>1</v>
      </c>
      <c r="B519" s="293" t="s">
        <v>2456</v>
      </c>
      <c r="C519" s="297"/>
      <c r="D519" s="297"/>
      <c r="E519" s="297"/>
      <c r="F519" s="297"/>
      <c r="G519" s="297" t="s">
        <v>2457</v>
      </c>
      <c r="H519" s="297"/>
      <c r="I519" s="297"/>
      <c r="J519" s="297"/>
      <c r="K519" s="293">
        <v>26400</v>
      </c>
      <c r="L519" s="270" t="s">
        <v>1939</v>
      </c>
    </row>
    <row r="520" spans="1:12" ht="21.75" customHeight="1" x14ac:dyDescent="0.25">
      <c r="A520" s="270">
        <v>1</v>
      </c>
      <c r="B520" s="302" t="s">
        <v>2458</v>
      </c>
      <c r="C520" s="297"/>
      <c r="D520" s="297"/>
      <c r="E520" s="297"/>
      <c r="F520" s="297"/>
      <c r="G520" s="297" t="s">
        <v>2459</v>
      </c>
      <c r="H520" s="297"/>
      <c r="I520" s="297"/>
      <c r="J520" s="297"/>
      <c r="K520" s="302">
        <v>30000</v>
      </c>
      <c r="L520" s="270" t="s">
        <v>1939</v>
      </c>
    </row>
    <row r="521" spans="1:12" ht="21.75" customHeight="1" x14ac:dyDescent="0.25">
      <c r="A521" s="270">
        <v>1</v>
      </c>
      <c r="B521" s="302" t="s">
        <v>2460</v>
      </c>
      <c r="C521" s="297"/>
      <c r="D521" s="297"/>
      <c r="E521" s="297"/>
      <c r="F521" s="297"/>
      <c r="G521" s="297" t="s">
        <v>2461</v>
      </c>
      <c r="H521" s="297"/>
      <c r="I521" s="297"/>
      <c r="J521" s="297"/>
      <c r="K521" s="302">
        <v>34200</v>
      </c>
      <c r="L521" s="270" t="s">
        <v>1939</v>
      </c>
    </row>
    <row r="522" spans="1:12" ht="21.75" customHeight="1" x14ac:dyDescent="0.25">
      <c r="A522" s="270">
        <v>1</v>
      </c>
      <c r="B522" s="303" t="s">
        <v>2462</v>
      </c>
      <c r="C522" s="297"/>
      <c r="D522" s="297"/>
      <c r="E522" s="297"/>
      <c r="F522" s="297"/>
      <c r="G522" s="297" t="s">
        <v>2463</v>
      </c>
      <c r="H522" s="297"/>
      <c r="I522" s="297"/>
      <c r="J522" s="297"/>
      <c r="K522" s="303">
        <v>31200</v>
      </c>
      <c r="L522" s="270" t="s">
        <v>1939</v>
      </c>
    </row>
    <row r="523" spans="1:12" ht="21.75" customHeight="1" x14ac:dyDescent="0.25">
      <c r="A523" s="270">
        <v>1</v>
      </c>
      <c r="B523" s="302" t="s">
        <v>2464</v>
      </c>
      <c r="C523" s="297"/>
      <c r="D523" s="297"/>
      <c r="E523" s="297"/>
      <c r="F523" s="297"/>
      <c r="G523" s="297" t="s">
        <v>2465</v>
      </c>
      <c r="H523" s="297"/>
      <c r="I523" s="297"/>
      <c r="J523" s="297"/>
      <c r="K523" s="302">
        <v>33000</v>
      </c>
      <c r="L523" s="270" t="s">
        <v>1939</v>
      </c>
    </row>
    <row r="524" spans="1:12" ht="21.75" customHeight="1" x14ac:dyDescent="0.25">
      <c r="A524" s="270">
        <v>1</v>
      </c>
      <c r="B524" s="302" t="s">
        <v>2466</v>
      </c>
      <c r="C524" s="297"/>
      <c r="D524" s="297"/>
      <c r="E524" s="297"/>
      <c r="F524" s="297"/>
      <c r="G524" s="297" t="s">
        <v>2467</v>
      </c>
      <c r="H524" s="297"/>
      <c r="I524" s="297"/>
      <c r="J524" s="297"/>
      <c r="K524" s="302">
        <v>39600</v>
      </c>
      <c r="L524" s="270" t="s">
        <v>1939</v>
      </c>
    </row>
    <row r="525" spans="1:12" ht="21.75" customHeight="1" x14ac:dyDescent="0.25">
      <c r="A525" s="270">
        <v>1</v>
      </c>
      <c r="B525" s="302" t="s">
        <v>2468</v>
      </c>
      <c r="C525" s="297"/>
      <c r="D525" s="297"/>
      <c r="E525" s="297"/>
      <c r="F525" s="297"/>
      <c r="G525" s="297" t="s">
        <v>2469</v>
      </c>
      <c r="H525" s="297"/>
      <c r="I525" s="297"/>
      <c r="J525" s="297"/>
      <c r="K525" s="302">
        <v>39000</v>
      </c>
      <c r="L525" s="270" t="s">
        <v>1939</v>
      </c>
    </row>
    <row r="526" spans="1:12" ht="21.75" customHeight="1" x14ac:dyDescent="0.25">
      <c r="A526" s="270">
        <v>1</v>
      </c>
      <c r="B526" s="302" t="s">
        <v>2470</v>
      </c>
      <c r="C526" s="297"/>
      <c r="D526" s="297"/>
      <c r="E526" s="297"/>
      <c r="F526" s="297"/>
      <c r="G526" s="297" t="s">
        <v>2471</v>
      </c>
      <c r="H526" s="297"/>
      <c r="I526" s="297"/>
      <c r="J526" s="297"/>
      <c r="K526" s="302">
        <v>49200</v>
      </c>
      <c r="L526" s="270" t="s">
        <v>1939</v>
      </c>
    </row>
    <row r="527" spans="1:12" ht="21.75" customHeight="1" x14ac:dyDescent="0.25">
      <c r="A527" s="270">
        <v>1</v>
      </c>
      <c r="B527" s="302" t="s">
        <v>2472</v>
      </c>
      <c r="C527" s="297"/>
      <c r="D527" s="297"/>
      <c r="E527" s="297"/>
      <c r="F527" s="297"/>
      <c r="G527" s="297" t="s">
        <v>2473</v>
      </c>
      <c r="H527" s="297"/>
      <c r="I527" s="297"/>
      <c r="J527" s="297"/>
      <c r="K527" s="302">
        <v>46608</v>
      </c>
      <c r="L527" s="270" t="s">
        <v>1939</v>
      </c>
    </row>
    <row r="528" spans="1:12" ht="21.75" customHeight="1" x14ac:dyDescent="0.25">
      <c r="A528" s="270">
        <v>1</v>
      </c>
      <c r="B528" s="291" t="s">
        <v>2474</v>
      </c>
      <c r="C528" s="297"/>
      <c r="D528" s="297"/>
      <c r="E528" s="297"/>
      <c r="F528" s="297"/>
      <c r="G528" s="297" t="s">
        <v>2475</v>
      </c>
      <c r="H528" s="297"/>
      <c r="I528" s="297"/>
      <c r="J528" s="297"/>
      <c r="K528" s="291">
        <v>51792</v>
      </c>
      <c r="L528" s="270" t="s">
        <v>1939</v>
      </c>
    </row>
    <row r="529" spans="1:12" ht="21.75" customHeight="1" x14ac:dyDescent="0.25">
      <c r="A529" s="270">
        <v>1</v>
      </c>
      <c r="B529" s="291" t="s">
        <v>2476</v>
      </c>
      <c r="C529" s="297"/>
      <c r="D529" s="297"/>
      <c r="E529" s="297"/>
      <c r="F529" s="297"/>
      <c r="G529" s="297" t="s">
        <v>2477</v>
      </c>
      <c r="H529" s="297"/>
      <c r="I529" s="297"/>
      <c r="J529" s="297"/>
      <c r="K529" s="291">
        <v>40896</v>
      </c>
      <c r="L529" s="270" t="s">
        <v>1939</v>
      </c>
    </row>
    <row r="530" spans="1:12" ht="21.75" customHeight="1" x14ac:dyDescent="0.25">
      <c r="A530" s="270">
        <v>1</v>
      </c>
      <c r="B530" s="291" t="s">
        <v>2478</v>
      </c>
      <c r="C530" s="297"/>
      <c r="D530" s="297"/>
      <c r="E530" s="297"/>
      <c r="F530" s="297"/>
      <c r="G530" s="297" t="s">
        <v>2479</v>
      </c>
      <c r="H530" s="297"/>
      <c r="I530" s="297"/>
      <c r="J530" s="297"/>
      <c r="K530" s="291">
        <v>38940</v>
      </c>
      <c r="L530" s="270" t="s">
        <v>1939</v>
      </c>
    </row>
    <row r="531" spans="1:12" ht="21.75" customHeight="1" x14ac:dyDescent="0.25">
      <c r="A531" s="270">
        <v>1</v>
      </c>
      <c r="B531" s="291" t="s">
        <v>2480</v>
      </c>
      <c r="C531" s="297"/>
      <c r="D531" s="297"/>
      <c r="E531" s="297"/>
      <c r="F531" s="297"/>
      <c r="G531" s="297" t="s">
        <v>2481</v>
      </c>
      <c r="H531" s="297"/>
      <c r="I531" s="297"/>
      <c r="J531" s="297"/>
      <c r="K531" s="291">
        <v>69108</v>
      </c>
      <c r="L531" s="270" t="s">
        <v>1939</v>
      </c>
    </row>
    <row r="532" spans="1:12" ht="21.75" customHeight="1" x14ac:dyDescent="0.25">
      <c r="A532" s="270">
        <v>1</v>
      </c>
      <c r="B532" s="291" t="s">
        <v>2482</v>
      </c>
      <c r="C532" s="297"/>
      <c r="D532" s="297"/>
      <c r="E532" s="297"/>
      <c r="F532" s="297"/>
      <c r="G532" s="297" t="s">
        <v>2483</v>
      </c>
      <c r="H532" s="297"/>
      <c r="I532" s="297"/>
      <c r="J532" s="297"/>
      <c r="K532" s="291">
        <v>54564</v>
      </c>
      <c r="L532" s="270" t="s">
        <v>1939</v>
      </c>
    </row>
    <row r="533" spans="1:12" ht="21.75" customHeight="1" x14ac:dyDescent="0.25">
      <c r="A533" s="270">
        <v>1</v>
      </c>
      <c r="B533" s="291" t="s">
        <v>2484</v>
      </c>
      <c r="C533" s="297"/>
      <c r="D533" s="297"/>
      <c r="E533" s="297"/>
      <c r="F533" s="297"/>
      <c r="G533" s="297" t="s">
        <v>2485</v>
      </c>
      <c r="H533" s="297"/>
      <c r="I533" s="297"/>
      <c r="J533" s="297"/>
      <c r="K533" s="291">
        <v>51960</v>
      </c>
      <c r="L533" s="270" t="s">
        <v>1939</v>
      </c>
    </row>
    <row r="534" spans="1:12" ht="21.75" customHeight="1" x14ac:dyDescent="0.25">
      <c r="A534" s="270">
        <v>1</v>
      </c>
      <c r="B534" s="293" t="s">
        <v>2486</v>
      </c>
      <c r="C534" s="297"/>
      <c r="D534" s="297"/>
      <c r="E534" s="297"/>
      <c r="F534" s="297"/>
      <c r="G534" s="297" t="s">
        <v>2487</v>
      </c>
      <c r="H534" s="297"/>
      <c r="I534" s="297"/>
      <c r="J534" s="297"/>
      <c r="K534" s="293">
        <v>59292</v>
      </c>
      <c r="L534" s="270" t="s">
        <v>1939</v>
      </c>
    </row>
    <row r="535" spans="1:12" ht="21.75" customHeight="1" x14ac:dyDescent="0.25">
      <c r="A535" s="270">
        <v>1</v>
      </c>
      <c r="B535" s="293" t="s">
        <v>2488</v>
      </c>
      <c r="C535" s="297"/>
      <c r="D535" s="297"/>
      <c r="E535" s="297"/>
      <c r="F535" s="297"/>
      <c r="G535" s="297" t="s">
        <v>2489</v>
      </c>
      <c r="H535" s="297"/>
      <c r="I535" s="297"/>
      <c r="J535" s="297"/>
      <c r="K535" s="293">
        <v>46812</v>
      </c>
      <c r="L535" s="270" t="s">
        <v>1939</v>
      </c>
    </row>
    <row r="536" spans="1:12" ht="21.75" customHeight="1" x14ac:dyDescent="0.25">
      <c r="A536" s="270">
        <v>1</v>
      </c>
      <c r="B536" s="293" t="s">
        <v>2490</v>
      </c>
      <c r="C536" s="297"/>
      <c r="D536" s="297"/>
      <c r="E536" s="297"/>
      <c r="F536" s="297"/>
      <c r="G536" s="297" t="s">
        <v>2491</v>
      </c>
      <c r="H536" s="297"/>
      <c r="I536" s="297"/>
      <c r="J536" s="297"/>
      <c r="K536" s="293">
        <v>44580</v>
      </c>
      <c r="L536" s="270" t="s">
        <v>1939</v>
      </c>
    </row>
    <row r="537" spans="1:12" ht="21.75" customHeight="1" x14ac:dyDescent="0.25">
      <c r="A537" s="270">
        <v>1</v>
      </c>
      <c r="B537" s="293" t="s">
        <v>2492</v>
      </c>
      <c r="C537" s="297"/>
      <c r="D537" s="297"/>
      <c r="E537" s="297"/>
      <c r="F537" s="297"/>
      <c r="G537" s="297" t="s">
        <v>2493</v>
      </c>
      <c r="H537" s="297"/>
      <c r="I537" s="297"/>
      <c r="J537" s="297"/>
      <c r="K537" s="293">
        <v>75816</v>
      </c>
      <c r="L537" s="270" t="s">
        <v>1939</v>
      </c>
    </row>
    <row r="538" spans="1:12" ht="21.75" customHeight="1" x14ac:dyDescent="0.25">
      <c r="A538" s="270">
        <v>1</v>
      </c>
      <c r="B538" s="293" t="s">
        <v>2494</v>
      </c>
      <c r="C538" s="297"/>
      <c r="D538" s="297"/>
      <c r="E538" s="297"/>
      <c r="F538" s="297"/>
      <c r="G538" s="297" t="s">
        <v>2495</v>
      </c>
      <c r="H538" s="297"/>
      <c r="I538" s="297"/>
      <c r="J538" s="297"/>
      <c r="K538" s="293">
        <v>59856</v>
      </c>
      <c r="L538" s="270" t="s">
        <v>1939</v>
      </c>
    </row>
    <row r="539" spans="1:12" ht="21.75" customHeight="1" x14ac:dyDescent="0.25">
      <c r="A539" s="270">
        <v>1</v>
      </c>
      <c r="B539" s="293" t="s">
        <v>2496</v>
      </c>
      <c r="C539" s="297"/>
      <c r="D539" s="297"/>
      <c r="E539" s="297"/>
      <c r="F539" s="297"/>
      <c r="G539" s="297" t="s">
        <v>2497</v>
      </c>
      <c r="H539" s="297"/>
      <c r="I539" s="297"/>
      <c r="J539" s="297"/>
      <c r="K539" s="293">
        <v>57000</v>
      </c>
      <c r="L539" s="270" t="s">
        <v>1939</v>
      </c>
    </row>
    <row r="540" spans="1:12" ht="21.75" customHeight="1" x14ac:dyDescent="0.25">
      <c r="A540" s="270">
        <v>1</v>
      </c>
      <c r="B540" s="293" t="s">
        <v>2498</v>
      </c>
      <c r="C540" s="297"/>
      <c r="D540" s="297"/>
      <c r="E540" s="297"/>
      <c r="F540" s="297"/>
      <c r="G540" s="297" t="s">
        <v>2499</v>
      </c>
      <c r="H540" s="297"/>
      <c r="I540" s="297"/>
      <c r="J540" s="297"/>
      <c r="K540" s="293">
        <v>72060</v>
      </c>
      <c r="L540" s="270" t="s">
        <v>1939</v>
      </c>
    </row>
    <row r="541" spans="1:12" ht="21.75" customHeight="1" x14ac:dyDescent="0.25">
      <c r="A541" s="270">
        <v>1</v>
      </c>
      <c r="B541" s="293" t="s">
        <v>2500</v>
      </c>
      <c r="C541" s="297"/>
      <c r="D541" s="297"/>
      <c r="E541" s="297"/>
      <c r="F541" s="297"/>
      <c r="G541" s="297" t="s">
        <v>2501</v>
      </c>
      <c r="H541" s="297"/>
      <c r="I541" s="297"/>
      <c r="J541" s="297"/>
      <c r="K541" s="293">
        <v>56892</v>
      </c>
      <c r="L541" s="270" t="s">
        <v>1939</v>
      </c>
    </row>
    <row r="542" spans="1:12" ht="21.75" customHeight="1" x14ac:dyDescent="0.25">
      <c r="A542" s="270">
        <v>1</v>
      </c>
      <c r="B542" s="293" t="s">
        <v>2502</v>
      </c>
      <c r="C542" s="297"/>
      <c r="D542" s="297"/>
      <c r="E542" s="297"/>
      <c r="F542" s="297"/>
      <c r="G542" s="297" t="s">
        <v>2503</v>
      </c>
      <c r="H542" s="297"/>
      <c r="I542" s="297"/>
      <c r="J542" s="297"/>
      <c r="K542" s="293">
        <v>54180</v>
      </c>
      <c r="L542" s="270" t="s">
        <v>1939</v>
      </c>
    </row>
    <row r="543" spans="1:12" ht="21.75" customHeight="1" x14ac:dyDescent="0.25">
      <c r="A543" s="270">
        <v>1</v>
      </c>
      <c r="B543" s="293" t="s">
        <v>2504</v>
      </c>
      <c r="C543" s="297"/>
      <c r="D543" s="297"/>
      <c r="E543" s="297"/>
      <c r="F543" s="297"/>
      <c r="G543" s="297" t="s">
        <v>2505</v>
      </c>
      <c r="H543" s="297"/>
      <c r="I543" s="297"/>
      <c r="J543" s="297"/>
      <c r="K543" s="293">
        <v>147240</v>
      </c>
      <c r="L543" s="270" t="s">
        <v>1939</v>
      </c>
    </row>
    <row r="544" spans="1:12" ht="21.75" customHeight="1" x14ac:dyDescent="0.25">
      <c r="A544" s="270">
        <v>1</v>
      </c>
      <c r="B544" s="293" t="s">
        <v>2506</v>
      </c>
      <c r="C544" s="297"/>
      <c r="D544" s="297"/>
      <c r="E544" s="297"/>
      <c r="F544" s="297"/>
      <c r="G544" s="297" t="s">
        <v>2507</v>
      </c>
      <c r="H544" s="297"/>
      <c r="I544" s="297"/>
      <c r="J544" s="297"/>
      <c r="K544" s="293">
        <v>116244</v>
      </c>
      <c r="L544" s="270" t="s">
        <v>1939</v>
      </c>
    </row>
    <row r="545" spans="1:12" ht="21.75" customHeight="1" x14ac:dyDescent="0.25">
      <c r="A545" s="270">
        <v>1</v>
      </c>
      <c r="B545" s="293" t="s">
        <v>2508</v>
      </c>
      <c r="C545" s="297"/>
      <c r="D545" s="297"/>
      <c r="E545" s="297"/>
      <c r="F545" s="297"/>
      <c r="G545" s="297" t="s">
        <v>2509</v>
      </c>
      <c r="H545" s="297"/>
      <c r="I545" s="297"/>
      <c r="J545" s="297"/>
      <c r="K545" s="293">
        <v>110700</v>
      </c>
      <c r="L545" s="270" t="s">
        <v>1939</v>
      </c>
    </row>
    <row r="546" spans="1:12" ht="21.75" customHeight="1" x14ac:dyDescent="0.25">
      <c r="A546" s="270">
        <v>1</v>
      </c>
      <c r="B546" s="293" t="s">
        <v>2510</v>
      </c>
      <c r="C546" s="297"/>
      <c r="D546" s="297"/>
      <c r="E546" s="297"/>
      <c r="F546" s="297"/>
      <c r="G546" s="297" t="s">
        <v>2511</v>
      </c>
      <c r="H546" s="297"/>
      <c r="I546" s="297"/>
      <c r="J546" s="297"/>
      <c r="K546" s="293">
        <v>31800</v>
      </c>
      <c r="L546" s="270" t="s">
        <v>1939</v>
      </c>
    </row>
    <row r="547" spans="1:12" ht="21.75" customHeight="1" x14ac:dyDescent="0.25">
      <c r="A547" s="270">
        <v>1</v>
      </c>
      <c r="B547" s="293" t="s">
        <v>2512</v>
      </c>
      <c r="C547" s="297"/>
      <c r="D547" s="297"/>
      <c r="E547" s="297"/>
      <c r="F547" s="297"/>
      <c r="G547" s="297" t="s">
        <v>2513</v>
      </c>
      <c r="H547" s="297"/>
      <c r="I547" s="297"/>
      <c r="J547" s="297"/>
      <c r="K547" s="293">
        <v>25200</v>
      </c>
      <c r="L547" s="270" t="s">
        <v>1939</v>
      </c>
    </row>
    <row r="548" spans="1:12" ht="21.75" customHeight="1" x14ac:dyDescent="0.25">
      <c r="A548" s="270">
        <v>1</v>
      </c>
      <c r="B548" s="293" t="s">
        <v>2514</v>
      </c>
      <c r="C548" s="297"/>
      <c r="D548" s="297"/>
      <c r="E548" s="297"/>
      <c r="F548" s="297"/>
      <c r="G548" s="297" t="s">
        <v>2515</v>
      </c>
      <c r="H548" s="297"/>
      <c r="I548" s="297"/>
      <c r="J548" s="297"/>
      <c r="K548" s="293">
        <v>32400</v>
      </c>
      <c r="L548" s="270" t="s">
        <v>1939</v>
      </c>
    </row>
    <row r="549" spans="1:12" ht="21.75" customHeight="1" x14ac:dyDescent="0.25">
      <c r="A549" s="270">
        <v>1</v>
      </c>
      <c r="B549" s="293" t="s">
        <v>2516</v>
      </c>
      <c r="C549" s="297"/>
      <c r="D549" s="297"/>
      <c r="E549" s="297"/>
      <c r="F549" s="297"/>
      <c r="G549" s="297" t="s">
        <v>2517</v>
      </c>
      <c r="H549" s="297"/>
      <c r="I549" s="297"/>
      <c r="J549" s="297"/>
      <c r="K549" s="293">
        <v>31200</v>
      </c>
      <c r="L549" s="270" t="s">
        <v>1939</v>
      </c>
    </row>
    <row r="550" spans="1:12" ht="21.75" customHeight="1" x14ac:dyDescent="0.25">
      <c r="A550" s="270">
        <v>1</v>
      </c>
      <c r="B550" s="293" t="s">
        <v>2518</v>
      </c>
      <c r="C550" s="297"/>
      <c r="D550" s="297"/>
      <c r="E550" s="297"/>
      <c r="F550" s="297"/>
      <c r="G550" s="297" t="s">
        <v>2519</v>
      </c>
      <c r="H550" s="297"/>
      <c r="I550" s="297"/>
      <c r="J550" s="297"/>
      <c r="K550" s="293">
        <v>27240</v>
      </c>
      <c r="L550" s="270" t="s">
        <v>1939</v>
      </c>
    </row>
    <row r="551" spans="1:12" ht="21.75" customHeight="1" x14ac:dyDescent="0.25">
      <c r="A551" s="270">
        <v>1</v>
      </c>
      <c r="B551" s="293" t="s">
        <v>2520</v>
      </c>
      <c r="C551" s="297"/>
      <c r="D551" s="297"/>
      <c r="E551" s="297"/>
      <c r="F551" s="297"/>
      <c r="G551" s="297" t="s">
        <v>2521</v>
      </c>
      <c r="H551" s="297"/>
      <c r="I551" s="297"/>
      <c r="J551" s="297"/>
      <c r="K551" s="293">
        <v>37200</v>
      </c>
      <c r="L551" s="270" t="s">
        <v>1939</v>
      </c>
    </row>
    <row r="552" spans="1:12" ht="21.75" customHeight="1" x14ac:dyDescent="0.25">
      <c r="A552" s="270">
        <v>1</v>
      </c>
      <c r="B552" s="293" t="s">
        <v>2522</v>
      </c>
      <c r="C552" s="297"/>
      <c r="D552" s="297"/>
      <c r="E552" s="297"/>
      <c r="F552" s="297"/>
      <c r="G552" s="297" t="s">
        <v>2523</v>
      </c>
      <c r="H552" s="297"/>
      <c r="I552" s="297"/>
      <c r="J552" s="297"/>
      <c r="K552" s="293">
        <v>29640</v>
      </c>
      <c r="L552" s="270" t="s">
        <v>1939</v>
      </c>
    </row>
    <row r="553" spans="1:12" ht="21.75" customHeight="1" x14ac:dyDescent="0.25">
      <c r="A553" s="270">
        <v>1</v>
      </c>
      <c r="B553" s="293" t="s">
        <v>2524</v>
      </c>
      <c r="C553" s="297"/>
      <c r="D553" s="297"/>
      <c r="E553" s="297"/>
      <c r="F553" s="297"/>
      <c r="G553" s="297" t="s">
        <v>2525</v>
      </c>
      <c r="H553" s="297"/>
      <c r="I553" s="297"/>
      <c r="J553" s="297"/>
      <c r="K553" s="293">
        <v>32400</v>
      </c>
      <c r="L553" s="270" t="s">
        <v>1939</v>
      </c>
    </row>
    <row r="554" spans="1:12" ht="21.75" customHeight="1" x14ac:dyDescent="0.25">
      <c r="A554" s="270">
        <v>1</v>
      </c>
      <c r="B554" s="293" t="s">
        <v>2526</v>
      </c>
      <c r="C554" s="297"/>
      <c r="D554" s="297"/>
      <c r="E554" s="297"/>
      <c r="F554" s="297"/>
      <c r="G554" s="297" t="s">
        <v>2527</v>
      </c>
      <c r="H554" s="297"/>
      <c r="I554" s="297"/>
      <c r="J554" s="297"/>
      <c r="K554" s="293">
        <v>36000</v>
      </c>
      <c r="L554" s="270" t="s">
        <v>1939</v>
      </c>
    </row>
    <row r="555" spans="1:12" ht="21.75" customHeight="1" x14ac:dyDescent="0.25">
      <c r="A555" s="270">
        <v>1</v>
      </c>
      <c r="B555" s="293" t="s">
        <v>2528</v>
      </c>
      <c r="C555" s="297"/>
      <c r="D555" s="297"/>
      <c r="E555" s="297"/>
      <c r="F555" s="297"/>
      <c r="G555" s="297" t="s">
        <v>2529</v>
      </c>
      <c r="H555" s="297"/>
      <c r="I555" s="297"/>
      <c r="J555" s="297"/>
      <c r="K555" s="293">
        <v>36000</v>
      </c>
      <c r="L555" s="270" t="s">
        <v>1939</v>
      </c>
    </row>
    <row r="556" spans="1:12" ht="21.75" customHeight="1" x14ac:dyDescent="0.25">
      <c r="A556" s="270">
        <v>1</v>
      </c>
      <c r="B556" s="293" t="s">
        <v>2530</v>
      </c>
      <c r="C556" s="297"/>
      <c r="D556" s="297"/>
      <c r="E556" s="297"/>
      <c r="F556" s="297"/>
      <c r="G556" s="297" t="s">
        <v>2531</v>
      </c>
      <c r="H556" s="297"/>
      <c r="I556" s="297"/>
      <c r="J556" s="297"/>
      <c r="K556" s="293">
        <v>44400</v>
      </c>
      <c r="L556" s="270" t="s">
        <v>1939</v>
      </c>
    </row>
    <row r="557" spans="1:12" ht="21.75" customHeight="1" x14ac:dyDescent="0.25">
      <c r="A557" s="270">
        <v>1</v>
      </c>
      <c r="B557" s="293" t="s">
        <v>2532</v>
      </c>
      <c r="C557" s="297"/>
      <c r="D557" s="297"/>
      <c r="E557" s="297"/>
      <c r="F557" s="297"/>
      <c r="G557" s="297" t="s">
        <v>2533</v>
      </c>
      <c r="H557" s="297"/>
      <c r="I557" s="297"/>
      <c r="J557" s="297"/>
      <c r="K557" s="293">
        <v>51000</v>
      </c>
      <c r="L557" s="270" t="s">
        <v>1939</v>
      </c>
    </row>
    <row r="558" spans="1:12" ht="21.75" customHeight="1" x14ac:dyDescent="0.25">
      <c r="A558" s="270">
        <v>1</v>
      </c>
      <c r="B558" s="293" t="s">
        <v>2534</v>
      </c>
      <c r="C558" s="297"/>
      <c r="D558" s="297"/>
      <c r="E558" s="297"/>
      <c r="F558" s="297"/>
      <c r="G558" s="297" t="s">
        <v>2535</v>
      </c>
      <c r="H558" s="297"/>
      <c r="I558" s="297"/>
      <c r="J558" s="297"/>
      <c r="K558" s="293">
        <v>91200</v>
      </c>
      <c r="L558" s="270" t="s">
        <v>1939</v>
      </c>
    </row>
    <row r="559" spans="1:12" ht="21.75" customHeight="1" x14ac:dyDescent="0.25">
      <c r="A559" s="270">
        <v>1</v>
      </c>
      <c r="B559" s="293" t="s">
        <v>2536</v>
      </c>
      <c r="C559" s="297"/>
      <c r="D559" s="297"/>
      <c r="E559" s="297"/>
      <c r="F559" s="297"/>
      <c r="G559" s="297" t="s">
        <v>2537</v>
      </c>
      <c r="H559" s="297"/>
      <c r="I559" s="297"/>
      <c r="J559" s="297"/>
      <c r="K559" s="293">
        <v>98400</v>
      </c>
      <c r="L559" s="270" t="s">
        <v>1939</v>
      </c>
    </row>
    <row r="560" spans="1:12" ht="21.75" customHeight="1" x14ac:dyDescent="0.25">
      <c r="A560" s="270">
        <v>1</v>
      </c>
      <c r="B560" s="293" t="s">
        <v>2538</v>
      </c>
      <c r="C560" s="297"/>
      <c r="D560" s="297"/>
      <c r="E560" s="297"/>
      <c r="F560" s="297"/>
      <c r="G560" s="297" t="s">
        <v>2539</v>
      </c>
      <c r="H560" s="297"/>
      <c r="I560" s="297"/>
      <c r="J560" s="297"/>
      <c r="K560" s="293">
        <v>144000</v>
      </c>
      <c r="L560" s="270" t="s">
        <v>1939</v>
      </c>
    </row>
    <row r="561" spans="1:12" ht="21.75" customHeight="1" x14ac:dyDescent="0.25">
      <c r="A561" s="270">
        <v>1</v>
      </c>
      <c r="B561" s="293" t="s">
        <v>2540</v>
      </c>
      <c r="C561" s="297"/>
      <c r="D561" s="297"/>
      <c r="E561" s="297"/>
      <c r="F561" s="297"/>
      <c r="G561" s="297" t="s">
        <v>2541</v>
      </c>
      <c r="H561" s="297"/>
      <c r="I561" s="297"/>
      <c r="J561" s="297"/>
      <c r="K561" s="293">
        <v>23100</v>
      </c>
      <c r="L561" s="270" t="s">
        <v>1939</v>
      </c>
    </row>
    <row r="562" spans="1:12" ht="21.75" customHeight="1" x14ac:dyDescent="0.25">
      <c r="A562" s="270">
        <v>1</v>
      </c>
      <c r="B562" s="2" t="s">
        <v>2542</v>
      </c>
      <c r="C562" s="306"/>
      <c r="D562" s="306"/>
      <c r="E562" s="306"/>
      <c r="F562" s="306"/>
      <c r="G562" s="306" t="s">
        <v>2543</v>
      </c>
      <c r="H562" s="306"/>
      <c r="I562" s="306"/>
      <c r="J562" s="306"/>
      <c r="K562" s="2">
        <v>25380</v>
      </c>
      <c r="L562" s="270" t="s">
        <v>1939</v>
      </c>
    </row>
    <row r="563" spans="1:12" ht="21.75" customHeight="1" x14ac:dyDescent="0.25">
      <c r="A563" s="270">
        <v>1</v>
      </c>
      <c r="B563" s="307" t="s">
        <v>2544</v>
      </c>
      <c r="C563" s="306"/>
      <c r="D563" s="306"/>
      <c r="E563" s="306"/>
      <c r="F563" s="306"/>
      <c r="G563" s="306" t="s">
        <v>2545</v>
      </c>
      <c r="H563" s="306"/>
      <c r="I563" s="306"/>
      <c r="J563" s="306"/>
      <c r="K563" s="307">
        <v>27960</v>
      </c>
      <c r="L563" s="270" t="s">
        <v>1939</v>
      </c>
    </row>
    <row r="564" spans="1:12" ht="21.75" customHeight="1" x14ac:dyDescent="0.25">
      <c r="A564" s="270">
        <v>1</v>
      </c>
      <c r="B564" s="307" t="s">
        <v>2546</v>
      </c>
      <c r="C564" s="306"/>
      <c r="D564" s="306"/>
      <c r="E564" s="306"/>
      <c r="F564" s="306"/>
      <c r="G564" s="306" t="s">
        <v>2547</v>
      </c>
      <c r="H564" s="306"/>
      <c r="I564" s="306"/>
      <c r="J564" s="306"/>
      <c r="K564" s="307">
        <v>50340</v>
      </c>
      <c r="L564" s="270" t="s">
        <v>1939</v>
      </c>
    </row>
    <row r="565" spans="1:12" ht="21.75" customHeight="1" x14ac:dyDescent="0.25">
      <c r="A565" s="270">
        <v>1</v>
      </c>
      <c r="B565" s="307" t="s">
        <v>2548</v>
      </c>
      <c r="C565" s="306"/>
      <c r="D565" s="306"/>
      <c r="E565" s="306"/>
      <c r="F565" s="306"/>
      <c r="G565" s="306" t="s">
        <v>2549</v>
      </c>
      <c r="H565" s="306"/>
      <c r="I565" s="306"/>
      <c r="J565" s="306"/>
      <c r="K565" s="307">
        <v>47940</v>
      </c>
      <c r="L565" s="270" t="s">
        <v>1939</v>
      </c>
    </row>
    <row r="566" spans="1:12" ht="21.75" customHeight="1" x14ac:dyDescent="0.25">
      <c r="A566" s="270">
        <v>1</v>
      </c>
      <c r="B566" s="307" t="s">
        <v>2550</v>
      </c>
      <c r="C566" s="306"/>
      <c r="D566" s="306"/>
      <c r="E566" s="306"/>
      <c r="F566" s="306"/>
      <c r="G566" s="306" t="s">
        <v>2551</v>
      </c>
      <c r="H566" s="306"/>
      <c r="I566" s="306"/>
      <c r="J566" s="306"/>
      <c r="K566" s="307">
        <v>46608</v>
      </c>
      <c r="L566" s="270" t="s">
        <v>1939</v>
      </c>
    </row>
    <row r="567" spans="1:12" ht="21.75" customHeight="1" x14ac:dyDescent="0.25">
      <c r="A567" s="270">
        <v>1</v>
      </c>
      <c r="B567" s="307" t="s">
        <v>2552</v>
      </c>
      <c r="C567" s="306"/>
      <c r="D567" s="306"/>
      <c r="E567" s="306"/>
      <c r="F567" s="306"/>
      <c r="G567" s="306" t="s">
        <v>2553</v>
      </c>
      <c r="H567" s="306"/>
      <c r="I567" s="306"/>
      <c r="J567" s="306"/>
      <c r="K567" s="307">
        <v>36792</v>
      </c>
      <c r="L567" s="270" t="s">
        <v>1939</v>
      </c>
    </row>
    <row r="568" spans="1:12" ht="21.75" customHeight="1" x14ac:dyDescent="0.25">
      <c r="A568" s="270">
        <v>1</v>
      </c>
      <c r="B568" s="307" t="s">
        <v>2554</v>
      </c>
      <c r="C568" s="306"/>
      <c r="D568" s="306"/>
      <c r="E568" s="306"/>
      <c r="F568" s="306"/>
      <c r="G568" s="306" t="s">
        <v>2555</v>
      </c>
      <c r="H568" s="306"/>
      <c r="I568" s="306"/>
      <c r="J568" s="306"/>
      <c r="K568" s="307">
        <v>35040</v>
      </c>
      <c r="L568" s="270" t="s">
        <v>1939</v>
      </c>
    </row>
    <row r="569" spans="1:12" ht="21.75" customHeight="1" x14ac:dyDescent="0.25">
      <c r="A569" s="270">
        <v>1</v>
      </c>
      <c r="B569" s="307" t="s">
        <v>2556</v>
      </c>
      <c r="C569" s="306"/>
      <c r="D569" s="306"/>
      <c r="E569" s="306"/>
      <c r="F569" s="306"/>
      <c r="G569" s="306" t="s">
        <v>2557</v>
      </c>
      <c r="H569" s="306"/>
      <c r="I569" s="306"/>
      <c r="J569" s="306"/>
      <c r="K569" s="307">
        <v>63768</v>
      </c>
      <c r="L569" s="270" t="s">
        <v>1939</v>
      </c>
    </row>
    <row r="570" spans="1:12" ht="21.75" customHeight="1" x14ac:dyDescent="0.25">
      <c r="A570" s="270">
        <v>1</v>
      </c>
      <c r="B570" s="307" t="s">
        <v>2558</v>
      </c>
      <c r="C570" s="306"/>
      <c r="D570" s="306"/>
      <c r="E570" s="306"/>
      <c r="F570" s="306"/>
      <c r="G570" s="306" t="s">
        <v>2559</v>
      </c>
      <c r="H570" s="306"/>
      <c r="I570" s="306"/>
      <c r="J570" s="306"/>
      <c r="K570" s="307">
        <v>72228</v>
      </c>
      <c r="L570" s="270" t="s">
        <v>1939</v>
      </c>
    </row>
    <row r="571" spans="1:12" ht="21.75" customHeight="1" x14ac:dyDescent="0.25">
      <c r="A571" s="270">
        <v>1</v>
      </c>
      <c r="B571" s="307" t="s">
        <v>2560</v>
      </c>
      <c r="C571" s="306"/>
      <c r="D571" s="306"/>
      <c r="E571" s="306"/>
      <c r="F571" s="306"/>
      <c r="G571" s="306" t="s">
        <v>2561</v>
      </c>
      <c r="H571" s="306"/>
      <c r="I571" s="306"/>
      <c r="J571" s="306"/>
      <c r="K571" s="307">
        <v>57024</v>
      </c>
      <c r="L571" s="270" t="s">
        <v>1939</v>
      </c>
    </row>
    <row r="572" spans="1:12" ht="21.75" customHeight="1" x14ac:dyDescent="0.25">
      <c r="A572" s="270">
        <v>1</v>
      </c>
      <c r="B572" s="307" t="s">
        <v>2562</v>
      </c>
      <c r="C572" s="306"/>
      <c r="D572" s="306"/>
      <c r="E572" s="306"/>
      <c r="F572" s="306"/>
      <c r="G572" s="306" t="s">
        <v>2563</v>
      </c>
      <c r="H572" s="306"/>
      <c r="I572" s="306"/>
      <c r="J572" s="306"/>
      <c r="K572" s="307">
        <v>54300</v>
      </c>
      <c r="L572" s="270" t="s">
        <v>1939</v>
      </c>
    </row>
    <row r="573" spans="1:12" ht="21.75" customHeight="1" x14ac:dyDescent="0.25">
      <c r="A573" s="270">
        <v>1</v>
      </c>
      <c r="B573" s="307" t="s">
        <v>2564</v>
      </c>
      <c r="C573" s="306"/>
      <c r="D573" s="306"/>
      <c r="E573" s="306"/>
      <c r="F573" s="306"/>
      <c r="G573" s="306" t="s">
        <v>2565</v>
      </c>
      <c r="H573" s="306"/>
      <c r="I573" s="306"/>
      <c r="J573" s="306"/>
      <c r="K573" s="307">
        <v>87312</v>
      </c>
      <c r="L573" s="270" t="s">
        <v>1939</v>
      </c>
    </row>
    <row r="574" spans="1:12" ht="21.75" customHeight="1" x14ac:dyDescent="0.25">
      <c r="A574" s="270">
        <v>1</v>
      </c>
      <c r="B574" s="307" t="s">
        <v>2566</v>
      </c>
      <c r="C574" s="306"/>
      <c r="D574" s="306"/>
      <c r="E574" s="306"/>
      <c r="F574" s="306"/>
      <c r="G574" s="306" t="s">
        <v>2567</v>
      </c>
      <c r="H574" s="306"/>
      <c r="I574" s="306"/>
      <c r="J574" s="306"/>
      <c r="K574" s="307">
        <v>68928</v>
      </c>
      <c r="L574" s="270" t="s">
        <v>1939</v>
      </c>
    </row>
    <row r="575" spans="1:12" ht="21.75" customHeight="1" x14ac:dyDescent="0.25">
      <c r="A575" s="270">
        <v>1</v>
      </c>
      <c r="B575" s="307" t="s">
        <v>2568</v>
      </c>
      <c r="C575" s="306"/>
      <c r="D575" s="306"/>
      <c r="E575" s="306"/>
      <c r="F575" s="306"/>
      <c r="G575" s="306" t="s">
        <v>2569</v>
      </c>
      <c r="H575" s="306"/>
      <c r="I575" s="306"/>
      <c r="J575" s="306"/>
      <c r="K575" s="307">
        <v>65640</v>
      </c>
      <c r="L575" s="270" t="s">
        <v>1939</v>
      </c>
    </row>
    <row r="576" spans="1:12" ht="21.75" customHeight="1" x14ac:dyDescent="0.25">
      <c r="A576" s="270">
        <v>1</v>
      </c>
      <c r="B576" s="307" t="s">
        <v>2570</v>
      </c>
      <c r="C576" s="306"/>
      <c r="D576" s="306"/>
      <c r="E576" s="306"/>
      <c r="F576" s="306"/>
      <c r="G576" s="306" t="s">
        <v>2571</v>
      </c>
      <c r="H576" s="306"/>
      <c r="I576" s="306"/>
      <c r="J576" s="306"/>
      <c r="K576" s="307">
        <v>92256</v>
      </c>
      <c r="L576" s="270" t="s">
        <v>1939</v>
      </c>
    </row>
    <row r="577" spans="1:12" ht="21.75" customHeight="1" x14ac:dyDescent="0.25">
      <c r="A577" s="270">
        <v>1</v>
      </c>
      <c r="B577" s="307" t="s">
        <v>2572</v>
      </c>
      <c r="C577" s="306"/>
      <c r="D577" s="306"/>
      <c r="E577" s="306"/>
      <c r="F577" s="306"/>
      <c r="G577" s="306" t="s">
        <v>2573</v>
      </c>
      <c r="H577" s="306"/>
      <c r="I577" s="306"/>
      <c r="J577" s="306"/>
      <c r="K577" s="307">
        <v>72828</v>
      </c>
      <c r="L577" s="270" t="s">
        <v>1939</v>
      </c>
    </row>
    <row r="578" spans="1:12" ht="21.75" customHeight="1" x14ac:dyDescent="0.25">
      <c r="A578" s="270">
        <v>1</v>
      </c>
      <c r="B578" s="307" t="s">
        <v>2574</v>
      </c>
      <c r="C578" s="306"/>
      <c r="D578" s="306"/>
      <c r="E578" s="306"/>
      <c r="F578" s="306"/>
      <c r="G578" s="306" t="s">
        <v>2575</v>
      </c>
      <c r="H578" s="306"/>
      <c r="I578" s="306"/>
      <c r="J578" s="306"/>
      <c r="K578" s="307">
        <v>69360</v>
      </c>
      <c r="L578" s="270" t="s">
        <v>1939</v>
      </c>
    </row>
    <row r="579" spans="1:12" ht="21.75" customHeight="1" x14ac:dyDescent="0.25">
      <c r="A579" s="270">
        <v>1</v>
      </c>
      <c r="B579" s="307" t="s">
        <v>2576</v>
      </c>
      <c r="C579" s="306"/>
      <c r="D579" s="306"/>
      <c r="E579" s="306"/>
      <c r="F579" s="306"/>
      <c r="G579" s="306" t="s">
        <v>2577</v>
      </c>
      <c r="H579" s="306"/>
      <c r="I579" s="306"/>
      <c r="J579" s="306"/>
      <c r="K579" s="307">
        <v>76536</v>
      </c>
      <c r="L579" s="270" t="s">
        <v>1939</v>
      </c>
    </row>
    <row r="580" spans="1:12" ht="21.75" customHeight="1" x14ac:dyDescent="0.25">
      <c r="A580" s="270">
        <v>1</v>
      </c>
      <c r="B580" s="307" t="s">
        <v>2578</v>
      </c>
      <c r="C580" s="306"/>
      <c r="D580" s="306"/>
      <c r="E580" s="306"/>
      <c r="F580" s="306"/>
      <c r="G580" s="306" t="s">
        <v>2579</v>
      </c>
      <c r="H580" s="306"/>
      <c r="I580" s="306"/>
      <c r="J580" s="306"/>
      <c r="K580" s="307">
        <v>60420</v>
      </c>
      <c r="L580" s="270" t="s">
        <v>1939</v>
      </c>
    </row>
    <row r="581" spans="1:12" ht="21.75" customHeight="1" x14ac:dyDescent="0.25">
      <c r="A581" s="270">
        <v>1</v>
      </c>
      <c r="B581" s="307" t="s">
        <v>2580</v>
      </c>
      <c r="C581" s="306"/>
      <c r="D581" s="306"/>
      <c r="E581" s="306"/>
      <c r="F581" s="306"/>
      <c r="G581" s="306" t="s">
        <v>2581</v>
      </c>
      <c r="H581" s="306"/>
      <c r="I581" s="306"/>
      <c r="J581" s="306"/>
      <c r="K581" s="307">
        <v>57540</v>
      </c>
      <c r="L581" s="270" t="s">
        <v>1939</v>
      </c>
    </row>
    <row r="582" spans="1:12" ht="21.75" customHeight="1" x14ac:dyDescent="0.25">
      <c r="A582" s="270">
        <v>1</v>
      </c>
      <c r="B582" s="307" t="s">
        <v>2582</v>
      </c>
      <c r="C582" s="306"/>
      <c r="D582" s="306"/>
      <c r="E582" s="306"/>
      <c r="F582" s="306"/>
      <c r="G582" s="306" t="s">
        <v>2583</v>
      </c>
      <c r="H582" s="306"/>
      <c r="I582" s="306"/>
      <c r="J582" s="306"/>
      <c r="K582" s="307">
        <v>27000</v>
      </c>
      <c r="L582" s="270" t="s">
        <v>1939</v>
      </c>
    </row>
    <row r="583" spans="1:12" ht="21.75" customHeight="1" x14ac:dyDescent="0.25">
      <c r="A583" s="270">
        <v>1</v>
      </c>
      <c r="B583" s="307" t="s">
        <v>2584</v>
      </c>
      <c r="C583" s="306"/>
      <c r="D583" s="306"/>
      <c r="E583" s="306"/>
      <c r="F583" s="306"/>
      <c r="G583" s="306" t="s">
        <v>2585</v>
      </c>
      <c r="H583" s="306"/>
      <c r="I583" s="306"/>
      <c r="J583" s="306"/>
      <c r="K583" s="307">
        <v>32400</v>
      </c>
      <c r="L583" s="270" t="s">
        <v>1939</v>
      </c>
    </row>
    <row r="584" spans="1:12" ht="21.75" customHeight="1" x14ac:dyDescent="0.25">
      <c r="A584" s="270">
        <v>1</v>
      </c>
      <c r="B584" s="307" t="s">
        <v>2586</v>
      </c>
      <c r="C584" s="306"/>
      <c r="D584" s="306"/>
      <c r="E584" s="306"/>
      <c r="F584" s="306"/>
      <c r="G584" s="306" t="s">
        <v>2587</v>
      </c>
      <c r="H584" s="306"/>
      <c r="I584" s="306"/>
      <c r="J584" s="306"/>
      <c r="K584" s="307">
        <v>42600</v>
      </c>
      <c r="L584" s="270" t="s">
        <v>1939</v>
      </c>
    </row>
    <row r="585" spans="1:12" ht="21.75" customHeight="1" x14ac:dyDescent="0.25">
      <c r="A585" s="270">
        <v>1</v>
      </c>
      <c r="B585" s="307" t="s">
        <v>2588</v>
      </c>
      <c r="C585" s="306"/>
      <c r="D585" s="306"/>
      <c r="E585" s="306"/>
      <c r="F585" s="306"/>
      <c r="G585" s="306" t="s">
        <v>2589</v>
      </c>
      <c r="H585" s="306"/>
      <c r="I585" s="306"/>
      <c r="J585" s="306"/>
      <c r="K585" s="307">
        <v>54000</v>
      </c>
      <c r="L585" s="270" t="s">
        <v>1939</v>
      </c>
    </row>
    <row r="586" spans="1:12" ht="21.75" customHeight="1" x14ac:dyDescent="0.25">
      <c r="A586" s="270">
        <v>1</v>
      </c>
      <c r="B586" s="307" t="s">
        <v>2590</v>
      </c>
      <c r="C586" s="306"/>
      <c r="D586" s="306"/>
      <c r="E586" s="306"/>
      <c r="F586" s="306"/>
      <c r="G586" s="306" t="s">
        <v>2591</v>
      </c>
      <c r="H586" s="306"/>
      <c r="I586" s="306"/>
      <c r="J586" s="306"/>
      <c r="K586" s="307">
        <v>55200</v>
      </c>
      <c r="L586" s="270" t="s">
        <v>1939</v>
      </c>
    </row>
    <row r="587" spans="1:12" ht="21.75" customHeight="1" x14ac:dyDescent="0.25">
      <c r="A587" s="270">
        <v>1</v>
      </c>
      <c r="B587" s="307" t="s">
        <v>2592</v>
      </c>
      <c r="C587" s="306"/>
      <c r="D587" s="306"/>
      <c r="E587" s="306"/>
      <c r="F587" s="306"/>
      <c r="G587" s="306" t="s">
        <v>2593</v>
      </c>
      <c r="H587" s="306"/>
      <c r="I587" s="306"/>
      <c r="J587" s="306"/>
      <c r="K587" s="307">
        <v>60000</v>
      </c>
      <c r="L587" s="270" t="s">
        <v>1939</v>
      </c>
    </row>
    <row r="588" spans="1:12" ht="21.75" customHeight="1" x14ac:dyDescent="0.25">
      <c r="A588" s="270">
        <v>1</v>
      </c>
      <c r="B588" s="307" t="s">
        <v>2594</v>
      </c>
      <c r="C588" s="306"/>
      <c r="D588" s="306"/>
      <c r="E588" s="306"/>
      <c r="F588" s="306"/>
      <c r="G588" s="306" t="s">
        <v>2595</v>
      </c>
      <c r="H588" s="306"/>
      <c r="I588" s="306"/>
      <c r="J588" s="306"/>
      <c r="K588" s="307">
        <v>138000</v>
      </c>
      <c r="L588" s="270" t="s">
        <v>1939</v>
      </c>
    </row>
    <row r="589" spans="1:12" ht="21.75" customHeight="1" x14ac:dyDescent="0.25">
      <c r="A589" s="270">
        <v>1</v>
      </c>
      <c r="B589" s="307" t="s">
        <v>2596</v>
      </c>
      <c r="C589" s="306"/>
      <c r="D589" s="306"/>
      <c r="E589" s="306"/>
      <c r="F589" s="306"/>
      <c r="G589" s="306" t="s">
        <v>2597</v>
      </c>
      <c r="H589" s="306"/>
      <c r="I589" s="306"/>
      <c r="J589" s="306"/>
      <c r="K589" s="307">
        <v>0</v>
      </c>
      <c r="L589" s="270" t="s">
        <v>1939</v>
      </c>
    </row>
    <row r="590" spans="1:12" ht="21.75" customHeight="1" x14ac:dyDescent="0.25">
      <c r="A590" s="270">
        <v>1</v>
      </c>
      <c r="B590" s="307" t="s">
        <v>2598</v>
      </c>
      <c r="C590" s="306"/>
      <c r="D590" s="306"/>
      <c r="E590" s="306"/>
      <c r="F590" s="306"/>
      <c r="G590" s="306" t="s">
        <v>86</v>
      </c>
      <c r="H590" s="306"/>
      <c r="I590" s="306"/>
      <c r="J590" s="306"/>
      <c r="K590" s="307">
        <v>23400</v>
      </c>
      <c r="L590" s="270" t="s">
        <v>1939</v>
      </c>
    </row>
    <row r="591" spans="1:12" ht="21.75" customHeight="1" x14ac:dyDescent="0.25">
      <c r="A591" s="270">
        <v>1</v>
      </c>
      <c r="B591" s="307" t="s">
        <v>2599</v>
      </c>
      <c r="C591" s="306"/>
      <c r="D591" s="306"/>
      <c r="E591" s="306"/>
      <c r="F591" s="306"/>
      <c r="G591" s="306" t="s">
        <v>87</v>
      </c>
      <c r="H591" s="306"/>
      <c r="I591" s="306"/>
      <c r="J591" s="306"/>
      <c r="K591" s="307">
        <v>24600</v>
      </c>
      <c r="L591" s="270" t="s">
        <v>1939</v>
      </c>
    </row>
    <row r="592" spans="1:12" ht="21.75" customHeight="1" x14ac:dyDescent="0.25">
      <c r="A592" s="270">
        <v>1</v>
      </c>
      <c r="B592" s="307" t="s">
        <v>2600</v>
      </c>
      <c r="C592" s="306"/>
      <c r="D592" s="306"/>
      <c r="E592" s="306"/>
      <c r="F592" s="306"/>
      <c r="G592" s="306" t="s">
        <v>84</v>
      </c>
      <c r="H592" s="306"/>
      <c r="I592" s="306"/>
      <c r="J592" s="306"/>
      <c r="K592" s="307">
        <v>23400</v>
      </c>
      <c r="L592" s="270" t="s">
        <v>1939</v>
      </c>
    </row>
    <row r="593" spans="1:12" ht="21.75" customHeight="1" x14ac:dyDescent="0.25">
      <c r="A593" s="270">
        <v>1</v>
      </c>
      <c r="B593" s="307" t="s">
        <v>2601</v>
      </c>
      <c r="C593" s="306"/>
      <c r="D593" s="306"/>
      <c r="E593" s="306"/>
      <c r="F593" s="306"/>
      <c r="G593" s="306" t="s">
        <v>85</v>
      </c>
      <c r="H593" s="306"/>
      <c r="I593" s="306"/>
      <c r="J593" s="306"/>
      <c r="K593" s="307">
        <v>24600</v>
      </c>
      <c r="L593" s="270" t="s">
        <v>1939</v>
      </c>
    </row>
    <row r="594" spans="1:12" ht="21.75" customHeight="1" x14ac:dyDescent="0.25">
      <c r="A594" s="270">
        <v>1</v>
      </c>
      <c r="B594" s="307" t="s">
        <v>2602</v>
      </c>
      <c r="C594" s="306"/>
      <c r="D594" s="306"/>
      <c r="E594" s="306"/>
      <c r="F594" s="306"/>
      <c r="G594" s="306" t="s">
        <v>2603</v>
      </c>
      <c r="H594" s="306"/>
      <c r="I594" s="306"/>
      <c r="J594" s="306"/>
      <c r="K594" s="307">
        <v>3000</v>
      </c>
      <c r="L594" s="270" t="s">
        <v>1939</v>
      </c>
    </row>
    <row r="595" spans="1:12" ht="21.75" customHeight="1" x14ac:dyDescent="0.25">
      <c r="A595" s="270">
        <v>1</v>
      </c>
      <c r="B595" s="307" t="s">
        <v>2604</v>
      </c>
      <c r="C595" s="306"/>
      <c r="D595" s="306"/>
      <c r="E595" s="306"/>
      <c r="F595" s="306"/>
      <c r="G595" s="306" t="s">
        <v>2605</v>
      </c>
      <c r="H595" s="306"/>
      <c r="I595" s="306"/>
      <c r="J595" s="306"/>
      <c r="K595" s="307">
        <v>26160</v>
      </c>
      <c r="L595" s="270" t="s">
        <v>1939</v>
      </c>
    </row>
    <row r="596" spans="1:12" ht="21.75" customHeight="1" x14ac:dyDescent="0.25">
      <c r="A596" s="270">
        <v>1</v>
      </c>
      <c r="B596" s="307" t="s">
        <v>2606</v>
      </c>
      <c r="C596" s="306"/>
      <c r="D596" s="306"/>
      <c r="E596" s="306"/>
      <c r="F596" s="306"/>
      <c r="G596" s="306" t="s">
        <v>2607</v>
      </c>
      <c r="H596" s="306"/>
      <c r="I596" s="306"/>
      <c r="J596" s="306"/>
      <c r="K596" s="307">
        <v>73200</v>
      </c>
      <c r="L596" s="270" t="s">
        <v>1939</v>
      </c>
    </row>
    <row r="597" spans="1:12" ht="21.75" customHeight="1" x14ac:dyDescent="0.25">
      <c r="A597" s="270">
        <v>1</v>
      </c>
      <c r="B597" s="307" t="s">
        <v>2608</v>
      </c>
      <c r="C597" s="306"/>
      <c r="D597" s="306"/>
      <c r="E597" s="306"/>
      <c r="F597" s="306"/>
      <c r="G597" s="306" t="s">
        <v>2609</v>
      </c>
      <c r="H597" s="306"/>
      <c r="I597" s="306"/>
      <c r="J597" s="306"/>
      <c r="K597" s="307">
        <v>12840</v>
      </c>
      <c r="L597" s="270" t="s">
        <v>1939</v>
      </c>
    </row>
    <row r="598" spans="1:12" ht="21.75" customHeight="1" x14ac:dyDescent="0.25">
      <c r="A598" s="270">
        <v>1</v>
      </c>
      <c r="B598" s="307" t="s">
        <v>2610</v>
      </c>
      <c r="C598" s="306"/>
      <c r="D598" s="306"/>
      <c r="E598" s="306"/>
      <c r="F598" s="306"/>
      <c r="G598" s="306" t="s">
        <v>2611</v>
      </c>
      <c r="H598" s="306"/>
      <c r="I598" s="306"/>
      <c r="J598" s="306"/>
      <c r="K598" s="307">
        <v>17400</v>
      </c>
      <c r="L598" s="270" t="s">
        <v>1939</v>
      </c>
    </row>
    <row r="599" spans="1:12" ht="21.75" customHeight="1" x14ac:dyDescent="0.25">
      <c r="A599" s="270">
        <v>1</v>
      </c>
      <c r="B599" s="307" t="s">
        <v>2612</v>
      </c>
      <c r="C599" s="306"/>
      <c r="D599" s="306"/>
      <c r="E599" s="306"/>
      <c r="F599" s="306"/>
      <c r="G599" s="306" t="s">
        <v>2613</v>
      </c>
      <c r="H599" s="306"/>
      <c r="I599" s="306"/>
      <c r="J599" s="306"/>
      <c r="K599" s="307">
        <v>3600</v>
      </c>
      <c r="L599" s="270" t="s">
        <v>1939</v>
      </c>
    </row>
    <row r="600" spans="1:12" ht="21.75" customHeight="1" x14ac:dyDescent="0.25">
      <c r="A600" s="270">
        <v>1</v>
      </c>
      <c r="B600" s="307" t="s">
        <v>2614</v>
      </c>
      <c r="C600" s="306"/>
      <c r="D600" s="306"/>
      <c r="E600" s="306"/>
      <c r="F600" s="306"/>
      <c r="G600" s="306" t="s">
        <v>2615</v>
      </c>
      <c r="H600" s="306"/>
      <c r="I600" s="306"/>
      <c r="J600" s="306"/>
      <c r="K600" s="307">
        <v>4680</v>
      </c>
      <c r="L600" s="270" t="s">
        <v>1939</v>
      </c>
    </row>
    <row r="601" spans="1:12" ht="21.75" customHeight="1" x14ac:dyDescent="0.25">
      <c r="A601" s="270">
        <v>1</v>
      </c>
      <c r="B601" s="307" t="s">
        <v>2616</v>
      </c>
      <c r="C601" s="306"/>
      <c r="D601" s="306"/>
      <c r="E601" s="306"/>
      <c r="F601" s="306"/>
      <c r="G601" s="306" t="s">
        <v>2617</v>
      </c>
      <c r="H601" s="306"/>
      <c r="I601" s="306"/>
      <c r="J601" s="306"/>
      <c r="K601" s="307">
        <v>45240</v>
      </c>
      <c r="L601" s="270" t="s">
        <v>1939</v>
      </c>
    </row>
    <row r="602" spans="1:12" ht="21.75" customHeight="1" x14ac:dyDescent="0.25">
      <c r="A602" s="270">
        <v>1</v>
      </c>
      <c r="B602" s="307" t="s">
        <v>2618</v>
      </c>
      <c r="C602" s="306"/>
      <c r="D602" s="306"/>
      <c r="E602" s="306"/>
      <c r="F602" s="306"/>
      <c r="G602" s="306" t="s">
        <v>2619</v>
      </c>
      <c r="H602" s="306"/>
      <c r="I602" s="306"/>
      <c r="J602" s="306"/>
      <c r="K602" s="307">
        <v>35640</v>
      </c>
      <c r="L602" s="270" t="s">
        <v>1939</v>
      </c>
    </row>
    <row r="603" spans="1:12" ht="21.75" customHeight="1" x14ac:dyDescent="0.25">
      <c r="A603" s="270">
        <v>1</v>
      </c>
      <c r="B603" s="307" t="s">
        <v>2620</v>
      </c>
      <c r="C603" s="306"/>
      <c r="D603" s="306"/>
      <c r="E603" s="306"/>
      <c r="F603" s="306"/>
      <c r="G603" s="306" t="s">
        <v>2621</v>
      </c>
      <c r="H603" s="306"/>
      <c r="I603" s="306"/>
      <c r="J603" s="306"/>
      <c r="K603" s="307">
        <v>54360</v>
      </c>
      <c r="L603" s="270" t="s">
        <v>1939</v>
      </c>
    </row>
    <row r="604" spans="1:12" ht="21.75" customHeight="1" x14ac:dyDescent="0.25">
      <c r="A604" s="270">
        <v>1</v>
      </c>
      <c r="B604" s="307" t="s">
        <v>2622</v>
      </c>
      <c r="C604" s="306"/>
      <c r="D604" s="306"/>
      <c r="E604" s="306"/>
      <c r="F604" s="306"/>
      <c r="G604" s="306" t="s">
        <v>2623</v>
      </c>
      <c r="H604" s="306"/>
      <c r="I604" s="306"/>
      <c r="J604" s="306"/>
      <c r="K604" s="307">
        <v>54360</v>
      </c>
      <c r="L604" s="270" t="s">
        <v>1939</v>
      </c>
    </row>
    <row r="605" spans="1:12" ht="21.75" customHeight="1" x14ac:dyDescent="0.25">
      <c r="A605" s="270">
        <v>1</v>
      </c>
      <c r="B605" s="307" t="s">
        <v>2624</v>
      </c>
      <c r="C605" s="306"/>
      <c r="D605" s="306"/>
      <c r="E605" s="306"/>
      <c r="F605" s="306"/>
      <c r="G605" s="306" t="s">
        <v>2625</v>
      </c>
      <c r="H605" s="306"/>
      <c r="I605" s="306"/>
      <c r="J605" s="306"/>
      <c r="K605" s="307">
        <v>35160</v>
      </c>
      <c r="L605" s="270" t="s">
        <v>1939</v>
      </c>
    </row>
    <row r="606" spans="1:12" ht="21.75" customHeight="1" x14ac:dyDescent="0.25">
      <c r="A606" s="270">
        <v>1</v>
      </c>
      <c r="B606" s="307" t="s">
        <v>2626</v>
      </c>
      <c r="C606" s="306"/>
      <c r="D606" s="306"/>
      <c r="E606" s="306"/>
      <c r="F606" s="306"/>
      <c r="G606" s="306" t="s">
        <v>2627</v>
      </c>
      <c r="H606" s="306"/>
      <c r="I606" s="306"/>
      <c r="J606" s="306"/>
      <c r="K606" s="307">
        <v>39360</v>
      </c>
      <c r="L606" s="270" t="s">
        <v>1939</v>
      </c>
    </row>
    <row r="607" spans="1:12" ht="21.75" customHeight="1" x14ac:dyDescent="0.25">
      <c r="A607" s="270">
        <v>1</v>
      </c>
      <c r="B607" s="307" t="s">
        <v>2628</v>
      </c>
      <c r="C607" s="306"/>
      <c r="D607" s="306"/>
      <c r="E607" s="306"/>
      <c r="F607" s="306"/>
      <c r="G607" s="306" t="s">
        <v>2629</v>
      </c>
      <c r="H607" s="306"/>
      <c r="I607" s="306"/>
      <c r="J607" s="306"/>
      <c r="K607" s="307">
        <v>42960</v>
      </c>
      <c r="L607" s="270" t="s">
        <v>1939</v>
      </c>
    </row>
    <row r="608" spans="1:12" ht="21.75" customHeight="1" x14ac:dyDescent="0.25">
      <c r="A608" s="270">
        <v>1</v>
      </c>
      <c r="B608" s="307" t="s">
        <v>2630</v>
      </c>
      <c r="C608" s="306"/>
      <c r="D608" s="306"/>
      <c r="E608" s="306"/>
      <c r="F608" s="306"/>
      <c r="G608" s="306" t="s">
        <v>2631</v>
      </c>
      <c r="H608" s="306"/>
      <c r="I608" s="306"/>
      <c r="J608" s="306"/>
      <c r="K608" s="307">
        <v>56160</v>
      </c>
      <c r="L608" s="270" t="s">
        <v>1939</v>
      </c>
    </row>
    <row r="609" spans="1:12" ht="21.75" customHeight="1" x14ac:dyDescent="0.25">
      <c r="A609" s="270">
        <v>1</v>
      </c>
      <c r="B609" s="307" t="s">
        <v>2632</v>
      </c>
      <c r="C609" s="306"/>
      <c r="D609" s="306"/>
      <c r="E609" s="306"/>
      <c r="F609" s="306"/>
      <c r="G609" s="306" t="s">
        <v>2633</v>
      </c>
      <c r="H609" s="306"/>
      <c r="I609" s="306"/>
      <c r="J609" s="306"/>
      <c r="K609" s="307">
        <v>69840</v>
      </c>
      <c r="L609" s="270" t="s">
        <v>1939</v>
      </c>
    </row>
    <row r="610" spans="1:12" ht="21.75" customHeight="1" x14ac:dyDescent="0.25">
      <c r="A610" s="270">
        <v>1</v>
      </c>
      <c r="B610" s="307" t="s">
        <v>1707</v>
      </c>
      <c r="C610" s="306"/>
      <c r="D610" s="306"/>
      <c r="E610" s="306"/>
      <c r="F610" s="306"/>
      <c r="G610" s="306" t="s">
        <v>1655</v>
      </c>
      <c r="H610" s="306"/>
      <c r="I610" s="306"/>
      <c r="J610" s="306"/>
      <c r="K610" s="307">
        <v>171824.8</v>
      </c>
      <c r="L610" s="270" t="s">
        <v>1939</v>
      </c>
    </row>
    <row r="611" spans="1:12" ht="21.75" customHeight="1" x14ac:dyDescent="0.25">
      <c r="A611" s="270">
        <v>1</v>
      </c>
      <c r="B611" s="307" t="s">
        <v>1706</v>
      </c>
      <c r="C611" s="306"/>
      <c r="D611" s="306"/>
      <c r="E611" s="306"/>
      <c r="F611" s="306"/>
      <c r="G611" s="306" t="s">
        <v>1473</v>
      </c>
      <c r="H611" s="306"/>
      <c r="I611" s="306"/>
      <c r="J611" s="306"/>
      <c r="K611" s="307">
        <v>1409.8</v>
      </c>
      <c r="L611" s="270" t="s">
        <v>1939</v>
      </c>
    </row>
    <row r="612" spans="1:12" ht="21.75" customHeight="1" x14ac:dyDescent="0.25">
      <c r="A612" s="270">
        <v>1</v>
      </c>
      <c r="B612" s="307" t="s">
        <v>1705</v>
      </c>
      <c r="C612" s="306"/>
      <c r="D612" s="306"/>
      <c r="E612" s="306"/>
      <c r="F612" s="306"/>
      <c r="G612" s="306" t="s">
        <v>1474</v>
      </c>
      <c r="H612" s="306"/>
      <c r="I612" s="306"/>
      <c r="J612" s="306"/>
      <c r="K612" s="307">
        <v>1666</v>
      </c>
      <c r="L612" s="270" t="s">
        <v>1939</v>
      </c>
    </row>
    <row r="613" spans="1:12" ht="21.75" customHeight="1" x14ac:dyDescent="0.25">
      <c r="A613" s="270">
        <v>1</v>
      </c>
      <c r="B613" s="307" t="s">
        <v>1704</v>
      </c>
      <c r="C613" s="306"/>
      <c r="D613" s="306"/>
      <c r="E613" s="306"/>
      <c r="F613" s="306"/>
      <c r="G613" s="306" t="s">
        <v>1485</v>
      </c>
      <c r="H613" s="306"/>
      <c r="I613" s="306"/>
      <c r="J613" s="306"/>
      <c r="K613" s="307">
        <v>4100.6000000000004</v>
      </c>
      <c r="L613" s="270" t="s">
        <v>1939</v>
      </c>
    </row>
    <row r="614" spans="1:12" ht="21.75" customHeight="1" x14ac:dyDescent="0.25">
      <c r="A614" s="270">
        <v>1</v>
      </c>
      <c r="B614" s="307" t="s">
        <v>1703</v>
      </c>
      <c r="C614" s="306"/>
      <c r="D614" s="306"/>
      <c r="E614" s="306"/>
      <c r="F614" s="306"/>
      <c r="G614" s="306" t="s">
        <v>2634</v>
      </c>
      <c r="H614" s="306"/>
      <c r="I614" s="306"/>
      <c r="J614" s="306"/>
      <c r="K614" s="307">
        <v>15548.4</v>
      </c>
      <c r="L614" s="270" t="s">
        <v>1939</v>
      </c>
    </row>
    <row r="615" spans="1:12" ht="21.75" customHeight="1" x14ac:dyDescent="0.25">
      <c r="A615" s="270">
        <v>1</v>
      </c>
      <c r="B615" s="307" t="s">
        <v>1702</v>
      </c>
      <c r="C615" s="306"/>
      <c r="D615" s="306"/>
      <c r="E615" s="306"/>
      <c r="F615" s="306"/>
      <c r="G615" s="306" t="s">
        <v>2635</v>
      </c>
      <c r="H615" s="306"/>
      <c r="I615" s="306"/>
      <c r="J615" s="306"/>
      <c r="K615" s="307">
        <v>19314.400000000001</v>
      </c>
      <c r="L615" s="270" t="s">
        <v>1939</v>
      </c>
    </row>
    <row r="616" spans="1:12" ht="21.75" customHeight="1" x14ac:dyDescent="0.25">
      <c r="A616" s="270">
        <v>1</v>
      </c>
      <c r="B616" s="307" t="s">
        <v>1701</v>
      </c>
      <c r="C616" s="306"/>
      <c r="D616" s="306"/>
      <c r="E616" s="306"/>
      <c r="F616" s="306"/>
      <c r="G616" s="306" t="s">
        <v>2636</v>
      </c>
      <c r="H616" s="306"/>
      <c r="I616" s="306"/>
      <c r="J616" s="306"/>
      <c r="K616" s="307">
        <v>23098.6</v>
      </c>
      <c r="L616" s="270" t="s">
        <v>1939</v>
      </c>
    </row>
    <row r="617" spans="1:12" ht="21.75" customHeight="1" x14ac:dyDescent="0.25">
      <c r="A617" s="270">
        <v>1</v>
      </c>
      <c r="B617" s="307" t="s">
        <v>1700</v>
      </c>
      <c r="C617" s="306"/>
      <c r="D617" s="306"/>
      <c r="E617" s="306"/>
      <c r="F617" s="306"/>
      <c r="G617" s="306" t="s">
        <v>1592</v>
      </c>
      <c r="H617" s="306"/>
      <c r="I617" s="306"/>
      <c r="J617" s="306"/>
      <c r="K617" s="307">
        <v>41545</v>
      </c>
      <c r="L617" s="270" t="s">
        <v>1939</v>
      </c>
    </row>
    <row r="618" spans="1:12" ht="21.75" customHeight="1" x14ac:dyDescent="0.25">
      <c r="A618" s="270">
        <v>1</v>
      </c>
      <c r="B618" s="307" t="s">
        <v>1699</v>
      </c>
      <c r="C618" s="306"/>
      <c r="D618" s="306"/>
      <c r="E618" s="306"/>
      <c r="F618" s="306"/>
      <c r="G618" s="306" t="s">
        <v>1600</v>
      </c>
      <c r="H618" s="306"/>
      <c r="I618" s="306"/>
      <c r="J618" s="306"/>
      <c r="K618" s="307">
        <v>47482.400000000001</v>
      </c>
      <c r="L618" s="270" t="s">
        <v>1939</v>
      </c>
    </row>
    <row r="619" spans="1:12" ht="21.75" customHeight="1" x14ac:dyDescent="0.25">
      <c r="A619" s="270">
        <v>1</v>
      </c>
      <c r="B619" s="307" t="s">
        <v>1698</v>
      </c>
      <c r="C619" s="306"/>
      <c r="D619" s="306"/>
      <c r="E619" s="306"/>
      <c r="F619" s="306"/>
      <c r="G619" s="306" t="s">
        <v>1607</v>
      </c>
      <c r="H619" s="306"/>
      <c r="I619" s="306"/>
      <c r="J619" s="306"/>
      <c r="K619" s="307">
        <v>128811.2</v>
      </c>
      <c r="L619" s="270" t="s">
        <v>1939</v>
      </c>
    </row>
    <row r="620" spans="1:12" ht="21.75" customHeight="1" x14ac:dyDescent="0.25">
      <c r="A620" s="270">
        <v>1</v>
      </c>
      <c r="B620" s="307" t="s">
        <v>1697</v>
      </c>
      <c r="C620" s="306"/>
      <c r="D620" s="306"/>
      <c r="E620" s="306"/>
      <c r="F620" s="306"/>
      <c r="G620" s="306" t="s">
        <v>1615</v>
      </c>
      <c r="H620" s="306"/>
      <c r="I620" s="306"/>
      <c r="J620" s="306"/>
      <c r="K620" s="307">
        <v>171206</v>
      </c>
      <c r="L620" s="270" t="s">
        <v>1939</v>
      </c>
    </row>
    <row r="621" spans="1:12" ht="21.75" customHeight="1" x14ac:dyDescent="0.25">
      <c r="A621" s="270">
        <v>1</v>
      </c>
      <c r="B621" s="307" t="s">
        <v>1696</v>
      </c>
      <c r="C621" s="306"/>
      <c r="D621" s="306"/>
      <c r="E621" s="306"/>
      <c r="F621" s="306"/>
      <c r="G621" s="306" t="s">
        <v>2637</v>
      </c>
      <c r="H621" s="306"/>
      <c r="I621" s="306"/>
      <c r="J621" s="306"/>
      <c r="K621" s="307">
        <v>17481.8</v>
      </c>
      <c r="L621" s="270" t="s">
        <v>1939</v>
      </c>
    </row>
    <row r="622" spans="1:12" ht="21.75" customHeight="1" x14ac:dyDescent="0.25">
      <c r="A622" s="270">
        <v>1</v>
      </c>
      <c r="B622" s="307" t="s">
        <v>1695</v>
      </c>
      <c r="C622" s="306"/>
      <c r="D622" s="306"/>
      <c r="E622" s="306"/>
      <c r="F622" s="306"/>
      <c r="G622" s="306" t="s">
        <v>1621</v>
      </c>
      <c r="H622" s="306"/>
      <c r="I622" s="306"/>
      <c r="J622" s="306"/>
      <c r="K622" s="307">
        <v>258098.4</v>
      </c>
      <c r="L622" s="270" t="s">
        <v>1939</v>
      </c>
    </row>
    <row r="623" spans="1:12" ht="21.75" customHeight="1" x14ac:dyDescent="0.25">
      <c r="A623" s="270">
        <v>1</v>
      </c>
      <c r="B623" s="307" t="s">
        <v>1694</v>
      </c>
      <c r="C623" s="306"/>
      <c r="D623" s="306"/>
      <c r="E623" s="306"/>
      <c r="F623" s="306"/>
      <c r="G623" s="306" t="s">
        <v>2638</v>
      </c>
      <c r="H623" s="306"/>
      <c r="I623" s="306"/>
      <c r="J623" s="306"/>
      <c r="K623" s="307">
        <v>18550</v>
      </c>
      <c r="L623" s="270" t="s">
        <v>1939</v>
      </c>
    </row>
    <row r="624" spans="1:12" ht="21.75" customHeight="1" x14ac:dyDescent="0.25">
      <c r="A624" s="270">
        <v>1</v>
      </c>
      <c r="B624" s="307" t="s">
        <v>1693</v>
      </c>
      <c r="C624" s="306"/>
      <c r="D624" s="306"/>
      <c r="E624" s="306"/>
      <c r="F624" s="306"/>
      <c r="G624" s="306" t="s">
        <v>2639</v>
      </c>
      <c r="H624" s="306"/>
      <c r="I624" s="306"/>
      <c r="J624" s="306"/>
      <c r="K624" s="307">
        <v>27983.200000000001</v>
      </c>
      <c r="L624" s="270" t="s">
        <v>1939</v>
      </c>
    </row>
    <row r="625" spans="1:12" ht="21.75" customHeight="1" x14ac:dyDescent="0.25">
      <c r="A625" s="270">
        <v>1</v>
      </c>
      <c r="B625" s="307" t="s">
        <v>1692</v>
      </c>
      <c r="C625" s="306"/>
      <c r="D625" s="306"/>
      <c r="E625" s="306"/>
      <c r="F625" s="306"/>
      <c r="G625" s="306" t="s">
        <v>1575</v>
      </c>
      <c r="H625" s="306"/>
      <c r="I625" s="306"/>
      <c r="J625" s="306"/>
      <c r="K625" s="307">
        <v>37273.599999999999</v>
      </c>
      <c r="L625" s="270" t="s">
        <v>1939</v>
      </c>
    </row>
    <row r="626" spans="1:12" ht="21.75" customHeight="1" x14ac:dyDescent="0.25">
      <c r="A626" s="270">
        <v>1</v>
      </c>
      <c r="B626" s="307" t="s">
        <v>1691</v>
      </c>
      <c r="C626" s="306"/>
      <c r="D626" s="306"/>
      <c r="E626" s="306"/>
      <c r="F626" s="306"/>
      <c r="G626" s="306" t="s">
        <v>1583</v>
      </c>
      <c r="H626" s="306"/>
      <c r="I626" s="306"/>
      <c r="J626" s="306"/>
      <c r="K626" s="307">
        <v>38172.400000000001</v>
      </c>
      <c r="L626" s="270" t="s">
        <v>1939</v>
      </c>
    </row>
    <row r="627" spans="1:12" ht="21.75" customHeight="1" x14ac:dyDescent="0.25">
      <c r="A627" s="270">
        <v>1</v>
      </c>
      <c r="B627" s="307" t="s">
        <v>1690</v>
      </c>
      <c r="C627" s="306"/>
      <c r="D627" s="306"/>
      <c r="E627" s="306"/>
      <c r="F627" s="306"/>
      <c r="G627" s="306" t="s">
        <v>1664</v>
      </c>
      <c r="H627" s="306"/>
      <c r="I627" s="306"/>
      <c r="J627" s="306"/>
      <c r="K627" s="307">
        <v>111666.8</v>
      </c>
      <c r="L627" s="270" t="s">
        <v>1939</v>
      </c>
    </row>
    <row r="628" spans="1:12" ht="21.75" customHeight="1" x14ac:dyDescent="0.25">
      <c r="A628" s="270">
        <v>1</v>
      </c>
      <c r="B628" s="307" t="s">
        <v>1689</v>
      </c>
      <c r="C628" s="306"/>
      <c r="D628" s="306"/>
      <c r="E628" s="306"/>
      <c r="F628" s="306"/>
      <c r="G628" s="306" t="s">
        <v>1668</v>
      </c>
      <c r="H628" s="306"/>
      <c r="I628" s="306"/>
      <c r="J628" s="306"/>
      <c r="K628" s="307">
        <v>174098.4</v>
      </c>
      <c r="L628" s="270" t="s">
        <v>1939</v>
      </c>
    </row>
    <row r="629" spans="1:12" ht="21.75" customHeight="1" x14ac:dyDescent="0.25">
      <c r="A629" s="270">
        <v>1</v>
      </c>
      <c r="B629" s="307" t="s">
        <v>1688</v>
      </c>
      <c r="C629" s="306"/>
      <c r="D629" s="306"/>
      <c r="E629" s="306"/>
      <c r="F629" s="306"/>
      <c r="G629" s="306" t="s">
        <v>1672</v>
      </c>
      <c r="H629" s="306"/>
      <c r="I629" s="306"/>
      <c r="J629" s="306"/>
      <c r="K629" s="307">
        <v>182096.6</v>
      </c>
      <c r="L629" s="270" t="s">
        <v>1939</v>
      </c>
    </row>
    <row r="630" spans="1:12" ht="21.75" customHeight="1" x14ac:dyDescent="0.25">
      <c r="A630" s="270">
        <v>1</v>
      </c>
      <c r="B630" s="307" t="s">
        <v>2640</v>
      </c>
      <c r="C630" s="306"/>
      <c r="D630" s="306"/>
      <c r="E630" s="306"/>
      <c r="F630" s="306"/>
      <c r="G630" s="306" t="s">
        <v>2641</v>
      </c>
      <c r="H630" s="306"/>
      <c r="I630" s="306"/>
      <c r="J630" s="306"/>
      <c r="K630" s="307">
        <v>57120</v>
      </c>
      <c r="L630" s="270" t="s">
        <v>1939</v>
      </c>
    </row>
    <row r="631" spans="1:12" ht="21.75" customHeight="1" x14ac:dyDescent="0.25">
      <c r="A631" s="270">
        <v>1</v>
      </c>
      <c r="B631" s="307" t="s">
        <v>2642</v>
      </c>
      <c r="C631" s="306"/>
      <c r="D631" s="306"/>
      <c r="E631" s="306"/>
      <c r="F631" s="306"/>
      <c r="G631" s="306" t="s">
        <v>2643</v>
      </c>
      <c r="H631" s="306"/>
      <c r="I631" s="306"/>
      <c r="J631" s="306"/>
      <c r="K631" s="307">
        <v>57600</v>
      </c>
      <c r="L631" s="270" t="s">
        <v>1939</v>
      </c>
    </row>
    <row r="632" spans="1:12" ht="21.75" customHeight="1" x14ac:dyDescent="0.25">
      <c r="A632" s="270">
        <v>1</v>
      </c>
      <c r="B632" s="307" t="s">
        <v>2644</v>
      </c>
      <c r="C632" s="306"/>
      <c r="D632" s="306"/>
      <c r="E632" s="306"/>
      <c r="F632" s="306"/>
      <c r="G632" s="306" t="s">
        <v>2645</v>
      </c>
      <c r="H632" s="306"/>
      <c r="I632" s="306"/>
      <c r="J632" s="306"/>
      <c r="K632" s="307">
        <v>82800</v>
      </c>
      <c r="L632" s="270" t="s">
        <v>1939</v>
      </c>
    </row>
    <row r="633" spans="1:12" ht="21.75" customHeight="1" x14ac:dyDescent="0.25">
      <c r="A633" s="270">
        <v>1</v>
      </c>
      <c r="B633" s="307" t="s">
        <v>2646</v>
      </c>
      <c r="C633" s="306"/>
      <c r="D633" s="306"/>
      <c r="E633" s="306"/>
      <c r="F633" s="306"/>
      <c r="G633" s="306" t="s">
        <v>2647</v>
      </c>
      <c r="H633" s="306"/>
      <c r="I633" s="306"/>
      <c r="J633" s="306"/>
      <c r="K633" s="307">
        <v>82800</v>
      </c>
      <c r="L633" s="270" t="s">
        <v>1939</v>
      </c>
    </row>
    <row r="634" spans="1:12" ht="21.75" customHeight="1" x14ac:dyDescent="0.25">
      <c r="A634" s="270">
        <v>1</v>
      </c>
      <c r="B634" s="307" t="s">
        <v>2648</v>
      </c>
      <c r="C634" s="306"/>
      <c r="D634" s="306"/>
      <c r="E634" s="306"/>
      <c r="F634" s="306"/>
      <c r="G634" s="306" t="s">
        <v>2649</v>
      </c>
      <c r="H634" s="306"/>
      <c r="I634" s="306"/>
      <c r="J634" s="306"/>
      <c r="K634" s="307">
        <v>86400</v>
      </c>
      <c r="L634" s="270" t="s">
        <v>1939</v>
      </c>
    </row>
    <row r="635" spans="1:12" ht="21.75" customHeight="1" x14ac:dyDescent="0.25">
      <c r="A635" s="270">
        <v>1</v>
      </c>
      <c r="B635" s="307" t="s">
        <v>2650</v>
      </c>
      <c r="C635" s="306"/>
      <c r="D635" s="306"/>
      <c r="E635" s="306"/>
      <c r="F635" s="306"/>
      <c r="G635" s="306" t="s">
        <v>2651</v>
      </c>
      <c r="H635" s="306"/>
      <c r="I635" s="306"/>
      <c r="J635" s="306"/>
      <c r="K635" s="307">
        <v>33420</v>
      </c>
      <c r="L635" s="270" t="s">
        <v>1939</v>
      </c>
    </row>
    <row r="636" spans="1:12" ht="21.75" customHeight="1" x14ac:dyDescent="0.25">
      <c r="A636" s="270">
        <v>1</v>
      </c>
      <c r="B636" s="307" t="s">
        <v>2652</v>
      </c>
      <c r="C636" s="306"/>
      <c r="D636" s="306"/>
      <c r="E636" s="306"/>
      <c r="F636" s="306"/>
      <c r="G636" s="306" t="s">
        <v>2653</v>
      </c>
      <c r="H636" s="306"/>
      <c r="I636" s="306"/>
      <c r="J636" s="306"/>
      <c r="K636" s="307">
        <v>19800</v>
      </c>
      <c r="L636" s="270" t="s">
        <v>1939</v>
      </c>
    </row>
    <row r="637" spans="1:12" ht="21.75" customHeight="1" x14ac:dyDescent="0.25">
      <c r="A637" s="270">
        <v>1</v>
      </c>
      <c r="B637" s="307" t="s">
        <v>2654</v>
      </c>
      <c r="C637" s="306"/>
      <c r="D637" s="306"/>
      <c r="E637" s="306"/>
      <c r="F637" s="306"/>
      <c r="G637" s="306" t="s">
        <v>2655</v>
      </c>
      <c r="H637" s="306"/>
      <c r="I637" s="306"/>
      <c r="J637" s="306"/>
      <c r="K637" s="307">
        <v>22200</v>
      </c>
      <c r="L637" s="270" t="s">
        <v>1939</v>
      </c>
    </row>
    <row r="638" spans="1:12" ht="21.75" customHeight="1" x14ac:dyDescent="0.25">
      <c r="A638" s="270">
        <v>1</v>
      </c>
      <c r="B638" s="307" t="s">
        <v>2656</v>
      </c>
      <c r="C638" s="306"/>
      <c r="D638" s="306"/>
      <c r="E638" s="306"/>
      <c r="F638" s="306"/>
      <c r="G638" s="306" t="s">
        <v>2657</v>
      </c>
      <c r="H638" s="306"/>
      <c r="I638" s="306"/>
      <c r="J638" s="306"/>
      <c r="K638" s="307">
        <v>10680</v>
      </c>
      <c r="L638" s="270" t="s">
        <v>1939</v>
      </c>
    </row>
    <row r="639" spans="1:12" ht="21.75" customHeight="1" x14ac:dyDescent="0.25">
      <c r="A639" s="270">
        <v>1</v>
      </c>
      <c r="B639" s="307" t="s">
        <v>2658</v>
      </c>
      <c r="C639" s="306"/>
      <c r="D639" s="306"/>
      <c r="E639" s="306"/>
      <c r="F639" s="306"/>
      <c r="G639" s="306" t="s">
        <v>2659</v>
      </c>
      <c r="H639" s="306"/>
      <c r="I639" s="306"/>
      <c r="J639" s="306"/>
      <c r="K639" s="307">
        <v>10680</v>
      </c>
      <c r="L639" s="270" t="s">
        <v>1939</v>
      </c>
    </row>
    <row r="640" spans="1:12" ht="21.75" customHeight="1" x14ac:dyDescent="0.25">
      <c r="A640" s="270">
        <v>1</v>
      </c>
      <c r="B640" s="307" t="s">
        <v>2660</v>
      </c>
      <c r="C640" s="306"/>
      <c r="D640" s="306"/>
      <c r="E640" s="306"/>
      <c r="F640" s="306"/>
      <c r="G640" s="306" t="s">
        <v>2661</v>
      </c>
      <c r="H640" s="306"/>
      <c r="I640" s="306"/>
      <c r="J640" s="306"/>
      <c r="K640" s="307">
        <v>3600</v>
      </c>
      <c r="L640" s="270" t="s">
        <v>1939</v>
      </c>
    </row>
    <row r="641" spans="1:12" ht="21.75" customHeight="1" x14ac:dyDescent="0.25">
      <c r="A641" s="270">
        <v>1</v>
      </c>
      <c r="B641" s="307" t="s">
        <v>2662</v>
      </c>
      <c r="C641" s="306"/>
      <c r="D641" s="306"/>
      <c r="E641" s="306"/>
      <c r="F641" s="306"/>
      <c r="G641" s="306" t="s">
        <v>2663</v>
      </c>
      <c r="H641" s="306"/>
      <c r="I641" s="306"/>
      <c r="J641" s="306"/>
      <c r="K641" s="307">
        <v>5580</v>
      </c>
      <c r="L641" s="270" t="s">
        <v>1939</v>
      </c>
    </row>
    <row r="642" spans="1:12" ht="21.75" customHeight="1" x14ac:dyDescent="0.25">
      <c r="A642" s="270">
        <v>1</v>
      </c>
      <c r="B642" s="307" t="s">
        <v>2664</v>
      </c>
      <c r="C642" s="306"/>
      <c r="D642" s="306"/>
      <c r="E642" s="306"/>
      <c r="F642" s="306"/>
      <c r="G642" s="306" t="s">
        <v>2665</v>
      </c>
      <c r="H642" s="306"/>
      <c r="I642" s="306"/>
      <c r="J642" s="306"/>
      <c r="K642" s="307">
        <v>5400</v>
      </c>
      <c r="L642" s="270" t="s">
        <v>1939</v>
      </c>
    </row>
    <row r="643" spans="1:12" ht="21.75" customHeight="1" x14ac:dyDescent="0.25">
      <c r="A643" s="270">
        <v>1</v>
      </c>
      <c r="B643" s="307" t="s">
        <v>2666</v>
      </c>
      <c r="C643" s="306"/>
      <c r="D643" s="306"/>
      <c r="E643" s="306"/>
      <c r="F643" s="306"/>
      <c r="G643" s="306" t="s">
        <v>2667</v>
      </c>
      <c r="H643" s="306"/>
      <c r="I643" s="306"/>
      <c r="J643" s="306"/>
      <c r="K643" s="307">
        <v>5400</v>
      </c>
      <c r="L643" s="270" t="s">
        <v>1939</v>
      </c>
    </row>
    <row r="644" spans="1:12" ht="21.75" customHeight="1" x14ac:dyDescent="0.25">
      <c r="A644" s="270">
        <v>1</v>
      </c>
      <c r="B644" s="307" t="s">
        <v>2668</v>
      </c>
      <c r="C644" s="306"/>
      <c r="D644" s="306"/>
      <c r="E644" s="306"/>
      <c r="F644" s="306"/>
      <c r="G644" s="306" t="s">
        <v>2669</v>
      </c>
      <c r="H644" s="306"/>
      <c r="I644" s="306"/>
      <c r="J644" s="306"/>
      <c r="K644" s="307">
        <v>33720</v>
      </c>
      <c r="L644" s="270" t="s">
        <v>1939</v>
      </c>
    </row>
    <row r="645" spans="1:12" ht="21.75" customHeight="1" x14ac:dyDescent="0.25">
      <c r="A645" s="270">
        <v>1</v>
      </c>
      <c r="B645" s="307" t="s">
        <v>2670</v>
      </c>
      <c r="C645" s="306"/>
      <c r="D645" s="306"/>
      <c r="E645" s="306"/>
      <c r="F645" s="306"/>
      <c r="G645" s="306" t="s">
        <v>2671</v>
      </c>
      <c r="H645" s="306"/>
      <c r="I645" s="306"/>
      <c r="J645" s="306"/>
      <c r="K645" s="307">
        <v>49440</v>
      </c>
      <c r="L645" s="270" t="s">
        <v>1939</v>
      </c>
    </row>
    <row r="646" spans="1:12" ht="21.75" customHeight="1" x14ac:dyDescent="0.25">
      <c r="A646" s="270">
        <v>1</v>
      </c>
      <c r="B646" s="307" t="s">
        <v>2672</v>
      </c>
      <c r="C646" s="306"/>
      <c r="D646" s="306"/>
      <c r="E646" s="306"/>
      <c r="F646" s="306"/>
      <c r="G646" s="306" t="s">
        <v>2673</v>
      </c>
      <c r="H646" s="306"/>
      <c r="I646" s="306"/>
      <c r="J646" s="306"/>
      <c r="K646" s="307">
        <v>22800</v>
      </c>
      <c r="L646" s="270" t="s">
        <v>1939</v>
      </c>
    </row>
    <row r="647" spans="1:12" ht="21.75" customHeight="1" x14ac:dyDescent="0.25">
      <c r="A647" s="270">
        <v>1</v>
      </c>
      <c r="B647" s="307" t="s">
        <v>2674</v>
      </c>
      <c r="C647" s="306"/>
      <c r="D647" s="306"/>
      <c r="E647" s="306"/>
      <c r="F647" s="306"/>
      <c r="G647" s="306" t="s">
        <v>2675</v>
      </c>
      <c r="H647" s="306"/>
      <c r="I647" s="306"/>
      <c r="J647" s="306"/>
      <c r="K647" s="307">
        <v>3000</v>
      </c>
      <c r="L647" s="270" t="s">
        <v>1939</v>
      </c>
    </row>
    <row r="648" spans="1:12" ht="21.75" customHeight="1" x14ac:dyDescent="0.25">
      <c r="A648" s="270">
        <v>1</v>
      </c>
      <c r="B648" s="307" t="s">
        <v>2676</v>
      </c>
      <c r="C648" s="306"/>
      <c r="D648" s="306"/>
      <c r="E648" s="306"/>
      <c r="F648" s="306"/>
      <c r="G648" s="306" t="s">
        <v>2677</v>
      </c>
      <c r="H648" s="306"/>
      <c r="I648" s="306"/>
      <c r="J648" s="306"/>
      <c r="K648" s="307">
        <v>37080</v>
      </c>
      <c r="L648" s="270" t="s">
        <v>1939</v>
      </c>
    </row>
    <row r="649" spans="1:12" ht="21.75" customHeight="1" x14ac:dyDescent="0.25">
      <c r="A649" s="270">
        <v>1</v>
      </c>
      <c r="B649" s="307" t="s">
        <v>2678</v>
      </c>
      <c r="C649" s="306"/>
      <c r="D649" s="306"/>
      <c r="E649" s="306"/>
      <c r="F649" s="306"/>
      <c r="G649" s="306" t="s">
        <v>2679</v>
      </c>
      <c r="H649" s="306"/>
      <c r="I649" s="306"/>
      <c r="J649" s="306"/>
      <c r="K649" s="307">
        <v>37080</v>
      </c>
      <c r="L649" s="270" t="s">
        <v>1939</v>
      </c>
    </row>
    <row r="650" spans="1:12" ht="21.75" customHeight="1" x14ac:dyDescent="0.25">
      <c r="A650" s="270">
        <v>1</v>
      </c>
      <c r="B650" s="307" t="s">
        <v>2680</v>
      </c>
      <c r="C650" s="306"/>
      <c r="D650" s="306"/>
      <c r="E650" s="306"/>
      <c r="F650" s="306"/>
      <c r="G650" s="306" t="s">
        <v>2681</v>
      </c>
      <c r="H650" s="306"/>
      <c r="I650" s="306"/>
      <c r="J650" s="306"/>
      <c r="K650" s="307">
        <v>49680</v>
      </c>
      <c r="L650" s="270" t="s">
        <v>1939</v>
      </c>
    </row>
    <row r="651" spans="1:12" ht="21.75" customHeight="1" x14ac:dyDescent="0.25">
      <c r="A651" s="270">
        <v>1</v>
      </c>
      <c r="B651" s="307" t="s">
        <v>2682</v>
      </c>
      <c r="C651" s="306"/>
      <c r="D651" s="306"/>
      <c r="E651" s="306"/>
      <c r="F651" s="306"/>
      <c r="G651" s="306" t="s">
        <v>2683</v>
      </c>
      <c r="H651" s="306"/>
      <c r="I651" s="306"/>
      <c r="J651" s="306"/>
      <c r="K651" s="307">
        <v>49680</v>
      </c>
      <c r="L651" s="270" t="s">
        <v>1939</v>
      </c>
    </row>
    <row r="652" spans="1:12" ht="21.75" customHeight="1" x14ac:dyDescent="0.25">
      <c r="A652" s="270">
        <v>1</v>
      </c>
      <c r="B652" s="307" t="s">
        <v>2684</v>
      </c>
      <c r="C652" s="306"/>
      <c r="D652" s="306"/>
      <c r="E652" s="306"/>
      <c r="F652" s="306"/>
      <c r="G652" s="306" t="s">
        <v>2685</v>
      </c>
      <c r="H652" s="306"/>
      <c r="I652" s="306"/>
      <c r="J652" s="306"/>
      <c r="K652" s="307">
        <v>39120</v>
      </c>
      <c r="L652" s="270" t="s">
        <v>1939</v>
      </c>
    </row>
    <row r="653" spans="1:12" ht="21.75" customHeight="1" x14ac:dyDescent="0.25">
      <c r="A653" s="270">
        <v>1</v>
      </c>
      <c r="B653" s="307" t="s">
        <v>2686</v>
      </c>
      <c r="C653" s="306"/>
      <c r="D653" s="306"/>
      <c r="E653" s="306"/>
      <c r="F653" s="306"/>
      <c r="G653" s="306" t="s">
        <v>2687</v>
      </c>
      <c r="H653" s="306"/>
      <c r="I653" s="306"/>
      <c r="J653" s="306"/>
      <c r="K653" s="307">
        <v>39120</v>
      </c>
      <c r="L653" s="270" t="s">
        <v>1939</v>
      </c>
    </row>
    <row r="654" spans="1:12" ht="21.75" customHeight="1" x14ac:dyDescent="0.25">
      <c r="A654" s="270">
        <v>1</v>
      </c>
      <c r="B654" s="307" t="s">
        <v>2688</v>
      </c>
      <c r="C654" s="306"/>
      <c r="D654" s="306"/>
      <c r="E654" s="306"/>
      <c r="F654" s="306"/>
      <c r="G654" s="306" t="s">
        <v>2689</v>
      </c>
      <c r="H654" s="306"/>
      <c r="I654" s="306"/>
      <c r="J654" s="306"/>
      <c r="K654" s="307">
        <v>52680</v>
      </c>
      <c r="L654" s="270" t="s">
        <v>1939</v>
      </c>
    </row>
    <row r="655" spans="1:12" ht="21.75" customHeight="1" x14ac:dyDescent="0.25">
      <c r="A655" s="270">
        <v>1</v>
      </c>
      <c r="B655" s="307" t="s">
        <v>2690</v>
      </c>
      <c r="C655" s="306"/>
      <c r="D655" s="306"/>
      <c r="E655" s="306"/>
      <c r="F655" s="306"/>
      <c r="G655" s="306" t="s">
        <v>2691</v>
      </c>
      <c r="H655" s="306"/>
      <c r="I655" s="306"/>
      <c r="J655" s="306"/>
      <c r="K655" s="307">
        <v>52680</v>
      </c>
      <c r="L655" s="270" t="s">
        <v>1939</v>
      </c>
    </row>
    <row r="656" spans="1:12" ht="21.75" customHeight="1" x14ac:dyDescent="0.25">
      <c r="A656" s="270">
        <v>1</v>
      </c>
      <c r="B656" s="307" t="s">
        <v>2692</v>
      </c>
      <c r="C656" s="306"/>
      <c r="D656" s="306"/>
      <c r="E656" s="306"/>
      <c r="F656" s="306"/>
      <c r="G656" s="306" t="s">
        <v>2693</v>
      </c>
      <c r="H656" s="306"/>
      <c r="I656" s="306"/>
      <c r="J656" s="306"/>
      <c r="K656" s="307">
        <v>57600</v>
      </c>
      <c r="L656" s="270" t="s">
        <v>1939</v>
      </c>
    </row>
    <row r="657" spans="1:12" ht="21.75" customHeight="1" x14ac:dyDescent="0.25">
      <c r="A657" s="270">
        <v>1</v>
      </c>
      <c r="B657" s="307" t="s">
        <v>2694</v>
      </c>
      <c r="C657" s="306"/>
      <c r="D657" s="306"/>
      <c r="E657" s="306"/>
      <c r="F657" s="306"/>
      <c r="G657" s="306" t="s">
        <v>2695</v>
      </c>
      <c r="H657" s="306"/>
      <c r="I657" s="306"/>
      <c r="J657" s="306"/>
      <c r="K657" s="307">
        <v>57600</v>
      </c>
      <c r="L657" s="270" t="s">
        <v>1939</v>
      </c>
    </row>
    <row r="658" spans="1:12" ht="21.75" customHeight="1" x14ac:dyDescent="0.25">
      <c r="A658" s="270">
        <v>1</v>
      </c>
      <c r="B658" s="307" t="s">
        <v>2696</v>
      </c>
      <c r="C658" s="306"/>
      <c r="D658" s="306"/>
      <c r="E658" s="306"/>
      <c r="F658" s="306"/>
      <c r="G658" s="306" t="s">
        <v>2697</v>
      </c>
      <c r="H658" s="306"/>
      <c r="I658" s="306"/>
      <c r="J658" s="306"/>
      <c r="K658" s="307">
        <v>79320</v>
      </c>
      <c r="L658" s="270" t="s">
        <v>1939</v>
      </c>
    </row>
    <row r="659" spans="1:12" ht="21.75" customHeight="1" x14ac:dyDescent="0.25">
      <c r="A659" s="270">
        <v>1</v>
      </c>
      <c r="B659" s="307" t="s">
        <v>2698</v>
      </c>
      <c r="C659" s="306"/>
      <c r="D659" s="306"/>
      <c r="E659" s="306"/>
      <c r="F659" s="306"/>
      <c r="G659" s="306" t="s">
        <v>2699</v>
      </c>
      <c r="H659" s="306"/>
      <c r="I659" s="306"/>
      <c r="J659" s="306"/>
      <c r="K659" s="307">
        <v>79320</v>
      </c>
      <c r="L659" s="270" t="s">
        <v>1939</v>
      </c>
    </row>
    <row r="660" spans="1:12" ht="21.75" customHeight="1" x14ac:dyDescent="0.25">
      <c r="A660" s="270">
        <v>1</v>
      </c>
      <c r="B660" s="307" t="s">
        <v>2700</v>
      </c>
      <c r="C660" s="306"/>
      <c r="D660" s="306"/>
      <c r="E660" s="306"/>
      <c r="F660" s="306"/>
      <c r="G660" s="306" t="s">
        <v>2701</v>
      </c>
      <c r="H660" s="306"/>
      <c r="I660" s="306"/>
      <c r="J660" s="306"/>
      <c r="K660" s="307">
        <v>38160</v>
      </c>
      <c r="L660" s="270" t="s">
        <v>1939</v>
      </c>
    </row>
    <row r="661" spans="1:12" ht="21.75" customHeight="1" x14ac:dyDescent="0.25">
      <c r="A661" s="270">
        <v>1</v>
      </c>
      <c r="B661" s="307" t="s">
        <v>2702</v>
      </c>
      <c r="C661" s="306"/>
      <c r="D661" s="306"/>
      <c r="E661" s="306"/>
      <c r="F661" s="306"/>
      <c r="G661" s="306" t="s">
        <v>2703</v>
      </c>
      <c r="H661" s="306"/>
      <c r="I661" s="306"/>
      <c r="J661" s="306"/>
      <c r="K661" s="307">
        <v>38160</v>
      </c>
      <c r="L661" s="270" t="s">
        <v>1939</v>
      </c>
    </row>
    <row r="662" spans="1:12" ht="21.75" customHeight="1" x14ac:dyDescent="0.25">
      <c r="A662" s="270">
        <v>1</v>
      </c>
      <c r="B662" s="307" t="s">
        <v>2704</v>
      </c>
      <c r="C662" s="306"/>
      <c r="D662" s="306"/>
      <c r="E662" s="306"/>
      <c r="F662" s="306"/>
      <c r="G662" s="306" t="s">
        <v>2705</v>
      </c>
      <c r="H662" s="306"/>
      <c r="I662" s="306"/>
      <c r="J662" s="306"/>
      <c r="K662" s="307">
        <v>43560</v>
      </c>
      <c r="L662" s="270" t="s">
        <v>1939</v>
      </c>
    </row>
    <row r="663" spans="1:12" ht="21.75" customHeight="1" x14ac:dyDescent="0.25">
      <c r="A663" s="270">
        <v>1</v>
      </c>
      <c r="B663" s="307" t="s">
        <v>2706</v>
      </c>
      <c r="C663" s="306"/>
      <c r="D663" s="306"/>
      <c r="E663" s="306"/>
      <c r="F663" s="306"/>
      <c r="G663" s="306" t="s">
        <v>2707</v>
      </c>
      <c r="H663" s="306"/>
      <c r="I663" s="306"/>
      <c r="J663" s="306"/>
      <c r="K663" s="307">
        <v>49440</v>
      </c>
      <c r="L663" s="270" t="s">
        <v>1939</v>
      </c>
    </row>
    <row r="664" spans="1:12" ht="21.75" customHeight="1" x14ac:dyDescent="0.25">
      <c r="A664" s="270">
        <v>1</v>
      </c>
      <c r="B664" s="307" t="s">
        <v>2708</v>
      </c>
      <c r="C664" s="306"/>
      <c r="D664" s="306"/>
      <c r="E664" s="306"/>
      <c r="F664" s="306"/>
      <c r="G664" s="306" t="s">
        <v>2709</v>
      </c>
      <c r="H664" s="306"/>
      <c r="I664" s="306"/>
      <c r="J664" s="306"/>
      <c r="K664" s="307">
        <v>56160</v>
      </c>
      <c r="L664" s="270" t="s">
        <v>1939</v>
      </c>
    </row>
    <row r="665" spans="1:12" ht="21.75" customHeight="1" x14ac:dyDescent="0.25">
      <c r="A665" s="270">
        <v>1</v>
      </c>
      <c r="B665" s="307" t="s">
        <v>2710</v>
      </c>
      <c r="C665" s="306"/>
      <c r="D665" s="306"/>
      <c r="E665" s="306"/>
      <c r="F665" s="306"/>
      <c r="G665" s="306" t="s">
        <v>2711</v>
      </c>
      <c r="H665" s="306"/>
      <c r="I665" s="306"/>
      <c r="J665" s="306"/>
      <c r="K665" s="307">
        <v>64560</v>
      </c>
      <c r="L665" s="270" t="s">
        <v>1939</v>
      </c>
    </row>
    <row r="666" spans="1:12" ht="21.75" customHeight="1" x14ac:dyDescent="0.25">
      <c r="A666" s="270">
        <v>1</v>
      </c>
      <c r="B666" s="307" t="s">
        <v>2712</v>
      </c>
      <c r="C666" s="306"/>
      <c r="D666" s="306"/>
      <c r="E666" s="306"/>
      <c r="F666" s="306"/>
      <c r="G666" s="306" t="s">
        <v>2713</v>
      </c>
      <c r="H666" s="306"/>
      <c r="I666" s="306"/>
      <c r="J666" s="306"/>
      <c r="K666" s="307">
        <v>64560</v>
      </c>
      <c r="L666" s="270" t="s">
        <v>1939</v>
      </c>
    </row>
    <row r="667" spans="1:12" ht="21.75" customHeight="1" x14ac:dyDescent="0.25">
      <c r="A667" s="270">
        <v>1</v>
      </c>
      <c r="B667" s="307" t="s">
        <v>2714</v>
      </c>
      <c r="C667" s="306"/>
      <c r="D667" s="306"/>
      <c r="E667" s="306"/>
      <c r="F667" s="306"/>
      <c r="G667" s="306" t="s">
        <v>2715</v>
      </c>
      <c r="H667" s="306"/>
      <c r="I667" s="306"/>
      <c r="J667" s="306"/>
      <c r="K667" s="307">
        <v>73200</v>
      </c>
      <c r="L667" s="270" t="s">
        <v>1939</v>
      </c>
    </row>
    <row r="668" spans="1:12" ht="21.75" customHeight="1" x14ac:dyDescent="0.25">
      <c r="A668" s="270">
        <v>1</v>
      </c>
      <c r="B668" s="308" t="s">
        <v>2716</v>
      </c>
      <c r="C668" s="306"/>
      <c r="D668" s="306"/>
      <c r="E668" s="306"/>
      <c r="F668" s="306"/>
      <c r="G668" s="306" t="s">
        <v>2717</v>
      </c>
      <c r="H668" s="306"/>
      <c r="I668" s="306"/>
      <c r="J668" s="306"/>
      <c r="K668" s="308">
        <v>48840</v>
      </c>
      <c r="L668" s="270" t="s">
        <v>1939</v>
      </c>
    </row>
    <row r="669" spans="1:12" ht="21.75" customHeight="1" x14ac:dyDescent="0.25">
      <c r="A669" s="270">
        <v>1</v>
      </c>
      <c r="B669" s="307" t="s">
        <v>2718</v>
      </c>
      <c r="C669" s="306"/>
      <c r="D669" s="306"/>
      <c r="E669" s="306"/>
      <c r="F669" s="306"/>
      <c r="G669" s="306" t="s">
        <v>2719</v>
      </c>
      <c r="H669" s="306"/>
      <c r="I669" s="306"/>
      <c r="J669" s="306"/>
      <c r="K669" s="307">
        <v>48840</v>
      </c>
      <c r="L669" s="270" t="s">
        <v>1939</v>
      </c>
    </row>
    <row r="670" spans="1:12" ht="21.75" customHeight="1" x14ac:dyDescent="0.25">
      <c r="A670" s="270">
        <v>1</v>
      </c>
      <c r="B670" s="307" t="s">
        <v>2720</v>
      </c>
      <c r="C670" s="306"/>
      <c r="D670" s="306"/>
      <c r="E670" s="306"/>
      <c r="F670" s="306"/>
      <c r="G670" s="306" t="s">
        <v>2721</v>
      </c>
      <c r="H670" s="306"/>
      <c r="I670" s="306"/>
      <c r="J670" s="306"/>
      <c r="K670" s="307">
        <v>51360</v>
      </c>
      <c r="L670" s="270" t="s">
        <v>1939</v>
      </c>
    </row>
    <row r="671" spans="1:12" ht="21.75" customHeight="1" x14ac:dyDescent="0.25">
      <c r="A671" s="270">
        <v>1</v>
      </c>
      <c r="B671" s="307" t="s">
        <v>2722</v>
      </c>
      <c r="C671" s="306"/>
      <c r="D671" s="306"/>
      <c r="E671" s="306"/>
      <c r="F671" s="306"/>
      <c r="G671" s="306" t="s">
        <v>2723</v>
      </c>
      <c r="H671" s="306"/>
      <c r="I671" s="306"/>
      <c r="J671" s="306"/>
      <c r="K671" s="307">
        <v>51360</v>
      </c>
      <c r="L671" s="270" t="s">
        <v>1939</v>
      </c>
    </row>
    <row r="672" spans="1:12" ht="21.75" customHeight="1" x14ac:dyDescent="0.25">
      <c r="A672" s="270">
        <v>1</v>
      </c>
      <c r="B672" s="307" t="s">
        <v>2724</v>
      </c>
      <c r="C672" s="306"/>
      <c r="D672" s="306"/>
      <c r="E672" s="306"/>
      <c r="F672" s="306"/>
      <c r="G672" s="306" t="s">
        <v>2725</v>
      </c>
      <c r="H672" s="306"/>
      <c r="I672" s="306"/>
      <c r="J672" s="306"/>
      <c r="K672" s="307">
        <v>52200</v>
      </c>
      <c r="L672" s="270" t="s">
        <v>1939</v>
      </c>
    </row>
    <row r="673" spans="1:12" ht="21.75" customHeight="1" x14ac:dyDescent="0.25">
      <c r="A673" s="270">
        <v>1</v>
      </c>
      <c r="B673" s="307" t="s">
        <v>2726</v>
      </c>
      <c r="C673" s="306"/>
      <c r="D673" s="306"/>
      <c r="E673" s="306"/>
      <c r="F673" s="306"/>
      <c r="G673" s="306" t="s">
        <v>2727</v>
      </c>
      <c r="H673" s="306"/>
      <c r="I673" s="306"/>
      <c r="J673" s="306"/>
      <c r="K673" s="307">
        <v>66840</v>
      </c>
      <c r="L673" s="270" t="s">
        <v>1939</v>
      </c>
    </row>
    <row r="674" spans="1:12" ht="21.75" customHeight="1" x14ac:dyDescent="0.25">
      <c r="A674" s="270">
        <v>1</v>
      </c>
      <c r="B674" s="307" t="s">
        <v>2728</v>
      </c>
      <c r="C674" s="306"/>
      <c r="D674" s="306"/>
      <c r="E674" s="306"/>
      <c r="F674" s="306"/>
      <c r="G674" s="306" t="s">
        <v>2729</v>
      </c>
      <c r="H674" s="306"/>
      <c r="I674" s="306"/>
      <c r="J674" s="306"/>
      <c r="K674" s="307">
        <v>69360</v>
      </c>
      <c r="L674" s="270" t="s">
        <v>1939</v>
      </c>
    </row>
    <row r="675" spans="1:12" ht="21.75" customHeight="1" x14ac:dyDescent="0.25">
      <c r="A675" s="270">
        <v>1</v>
      </c>
      <c r="B675" s="307" t="s">
        <v>2730</v>
      </c>
      <c r="C675" s="306"/>
      <c r="D675" s="306"/>
      <c r="E675" s="306"/>
      <c r="F675" s="306"/>
      <c r="G675" s="306" t="s">
        <v>2731</v>
      </c>
      <c r="H675" s="306"/>
      <c r="I675" s="306"/>
      <c r="J675" s="306"/>
      <c r="K675" s="307">
        <v>73920</v>
      </c>
      <c r="L675" s="270" t="s">
        <v>1939</v>
      </c>
    </row>
    <row r="676" spans="1:12" ht="21.75" customHeight="1" x14ac:dyDescent="0.25">
      <c r="A676" s="270">
        <v>1</v>
      </c>
      <c r="B676" s="307" t="s">
        <v>2732</v>
      </c>
      <c r="C676" s="306"/>
      <c r="D676" s="306"/>
      <c r="E676" s="306"/>
      <c r="F676" s="306"/>
      <c r="G676" s="306" t="s">
        <v>2733</v>
      </c>
      <c r="H676" s="306"/>
      <c r="I676" s="306"/>
      <c r="J676" s="306"/>
      <c r="K676" s="307">
        <v>73920</v>
      </c>
      <c r="L676" s="270" t="s">
        <v>1939</v>
      </c>
    </row>
    <row r="677" spans="1:12" ht="21.75" customHeight="1" x14ac:dyDescent="0.25">
      <c r="A677" s="270">
        <v>1</v>
      </c>
      <c r="B677" s="307" t="s">
        <v>2734</v>
      </c>
      <c r="C677" s="306"/>
      <c r="D677" s="306"/>
      <c r="E677" s="306"/>
      <c r="F677" s="306"/>
      <c r="G677" s="306" t="s">
        <v>2735</v>
      </c>
      <c r="H677" s="306"/>
      <c r="I677" s="306"/>
      <c r="J677" s="306"/>
      <c r="K677" s="307">
        <v>51600</v>
      </c>
      <c r="L677" s="270" t="s">
        <v>1939</v>
      </c>
    </row>
    <row r="678" spans="1:12" ht="21.75" customHeight="1" x14ac:dyDescent="0.25">
      <c r="A678" s="270">
        <v>1</v>
      </c>
      <c r="B678" s="307" t="s">
        <v>2736</v>
      </c>
      <c r="C678" s="306"/>
      <c r="D678" s="306"/>
      <c r="E678" s="306"/>
      <c r="F678" s="306"/>
      <c r="G678" s="306" t="s">
        <v>2737</v>
      </c>
      <c r="H678" s="306"/>
      <c r="I678" s="306"/>
      <c r="J678" s="306"/>
      <c r="K678" s="307">
        <v>51600</v>
      </c>
      <c r="L678" s="270" t="s">
        <v>1939</v>
      </c>
    </row>
    <row r="679" spans="1:12" ht="21.75" customHeight="1" x14ac:dyDescent="0.25">
      <c r="A679" s="270">
        <v>1</v>
      </c>
      <c r="B679" s="307" t="s">
        <v>2738</v>
      </c>
      <c r="C679" s="306"/>
      <c r="D679" s="306"/>
      <c r="E679" s="306"/>
      <c r="F679" s="306"/>
      <c r="G679" s="306" t="s">
        <v>2739</v>
      </c>
      <c r="H679" s="306"/>
      <c r="I679" s="306"/>
      <c r="J679" s="306"/>
      <c r="K679" s="307">
        <v>54360</v>
      </c>
      <c r="L679" s="270" t="s">
        <v>1939</v>
      </c>
    </row>
    <row r="680" spans="1:12" ht="21.75" customHeight="1" x14ac:dyDescent="0.25">
      <c r="A680" s="270">
        <v>1</v>
      </c>
      <c r="B680" s="307" t="s">
        <v>2740</v>
      </c>
      <c r="C680" s="306"/>
      <c r="D680" s="306"/>
      <c r="E680" s="306"/>
      <c r="F680" s="306"/>
      <c r="G680" s="306" t="s">
        <v>2741</v>
      </c>
      <c r="H680" s="306"/>
      <c r="I680" s="306"/>
      <c r="J680" s="306"/>
      <c r="K680" s="307">
        <v>54360</v>
      </c>
      <c r="L680" s="270" t="s">
        <v>1939</v>
      </c>
    </row>
    <row r="681" spans="1:12" ht="21.75" customHeight="1" x14ac:dyDescent="0.25">
      <c r="A681" s="270">
        <v>1</v>
      </c>
      <c r="B681" s="307" t="s">
        <v>2742</v>
      </c>
      <c r="C681" s="306"/>
      <c r="D681" s="306"/>
      <c r="E681" s="306"/>
      <c r="F681" s="306"/>
      <c r="G681" s="306" t="s">
        <v>2743</v>
      </c>
      <c r="H681" s="306"/>
      <c r="I681" s="306"/>
      <c r="J681" s="306"/>
      <c r="K681" s="307">
        <v>55320</v>
      </c>
      <c r="L681" s="270" t="s">
        <v>1939</v>
      </c>
    </row>
    <row r="682" spans="1:12" ht="21.75" customHeight="1" x14ac:dyDescent="0.25">
      <c r="A682" s="270">
        <v>1</v>
      </c>
      <c r="B682" s="307" t="s">
        <v>2744</v>
      </c>
      <c r="C682" s="306"/>
      <c r="D682" s="306"/>
      <c r="E682" s="306"/>
      <c r="F682" s="306"/>
      <c r="G682" s="306" t="s">
        <v>2745</v>
      </c>
      <c r="H682" s="306"/>
      <c r="I682" s="306"/>
      <c r="J682" s="306"/>
      <c r="K682" s="307">
        <v>55320</v>
      </c>
      <c r="L682" s="270" t="s">
        <v>1939</v>
      </c>
    </row>
    <row r="683" spans="1:12" ht="21.75" customHeight="1" x14ac:dyDescent="0.25">
      <c r="A683" s="270">
        <v>1</v>
      </c>
      <c r="B683" s="307" t="s">
        <v>2746</v>
      </c>
      <c r="C683" s="306"/>
      <c r="D683" s="306"/>
      <c r="E683" s="306"/>
      <c r="F683" s="306"/>
      <c r="G683" s="306" t="s">
        <v>2747</v>
      </c>
      <c r="H683" s="306"/>
      <c r="I683" s="306"/>
      <c r="J683" s="306"/>
      <c r="K683" s="307">
        <v>57600</v>
      </c>
      <c r="L683" s="270" t="s">
        <v>1939</v>
      </c>
    </row>
    <row r="684" spans="1:12" ht="21.75" customHeight="1" x14ac:dyDescent="0.25">
      <c r="A684" s="270">
        <v>1</v>
      </c>
      <c r="B684" s="307" t="s">
        <v>2748</v>
      </c>
      <c r="C684" s="306"/>
      <c r="D684" s="306"/>
      <c r="E684" s="306"/>
      <c r="F684" s="306"/>
      <c r="G684" s="306" t="s">
        <v>2749</v>
      </c>
      <c r="H684" s="306"/>
      <c r="I684" s="306"/>
      <c r="J684" s="306"/>
      <c r="K684" s="307">
        <v>57600</v>
      </c>
      <c r="L684" s="270" t="s">
        <v>1939</v>
      </c>
    </row>
    <row r="685" spans="1:12" ht="21.75" customHeight="1" x14ac:dyDescent="0.25">
      <c r="A685" s="270">
        <v>1</v>
      </c>
      <c r="B685" s="308" t="s">
        <v>2750</v>
      </c>
      <c r="C685" s="306"/>
      <c r="D685" s="306"/>
      <c r="E685" s="306"/>
      <c r="F685" s="306"/>
      <c r="G685" s="306" t="s">
        <v>2751</v>
      </c>
      <c r="H685" s="306"/>
      <c r="I685" s="306"/>
      <c r="J685" s="306"/>
      <c r="K685" s="308">
        <v>60480</v>
      </c>
      <c r="L685" s="270" t="s">
        <v>1939</v>
      </c>
    </row>
    <row r="686" spans="1:12" ht="21.75" customHeight="1" x14ac:dyDescent="0.25">
      <c r="A686" s="270">
        <v>1</v>
      </c>
      <c r="B686" s="307" t="s">
        <v>2752</v>
      </c>
      <c r="C686" s="306"/>
      <c r="D686" s="306"/>
      <c r="E686" s="306"/>
      <c r="F686" s="306"/>
      <c r="G686" s="306" t="s">
        <v>2753</v>
      </c>
      <c r="H686" s="306"/>
      <c r="I686" s="306"/>
      <c r="J686" s="306"/>
      <c r="K686" s="307">
        <v>60480</v>
      </c>
      <c r="L686" s="270" t="s">
        <v>1939</v>
      </c>
    </row>
    <row r="687" spans="1:12" ht="21.75" customHeight="1" x14ac:dyDescent="0.25">
      <c r="A687" s="270">
        <v>1</v>
      </c>
      <c r="B687" s="307" t="s">
        <v>2754</v>
      </c>
      <c r="C687" s="306"/>
      <c r="D687" s="306"/>
      <c r="E687" s="306"/>
      <c r="F687" s="306"/>
      <c r="G687" s="306" t="s">
        <v>2755</v>
      </c>
      <c r="H687" s="306"/>
      <c r="I687" s="306"/>
      <c r="J687" s="306"/>
      <c r="K687" s="307">
        <v>71040</v>
      </c>
      <c r="L687" s="270" t="s">
        <v>1939</v>
      </c>
    </row>
    <row r="688" spans="1:12" ht="21.75" customHeight="1" x14ac:dyDescent="0.25">
      <c r="A688" s="270">
        <v>1</v>
      </c>
      <c r="B688" s="307" t="s">
        <v>2756</v>
      </c>
      <c r="C688" s="306"/>
      <c r="D688" s="306"/>
      <c r="E688" s="306"/>
      <c r="F688" s="306"/>
      <c r="G688" s="306" t="s">
        <v>2757</v>
      </c>
      <c r="H688" s="306"/>
      <c r="I688" s="306"/>
      <c r="J688" s="306"/>
      <c r="K688" s="307">
        <v>73560</v>
      </c>
      <c r="L688" s="270" t="s">
        <v>1939</v>
      </c>
    </row>
    <row r="689" spans="1:12" ht="21.75" customHeight="1" x14ac:dyDescent="0.25">
      <c r="A689" s="270">
        <v>1</v>
      </c>
      <c r="B689" s="307" t="s">
        <v>2758</v>
      </c>
      <c r="C689" s="306"/>
      <c r="D689" s="306"/>
      <c r="E689" s="306"/>
      <c r="F689" s="306"/>
      <c r="G689" s="306" t="s">
        <v>2759</v>
      </c>
      <c r="H689" s="306"/>
      <c r="I689" s="306"/>
      <c r="J689" s="306"/>
      <c r="K689" s="307">
        <v>78360</v>
      </c>
      <c r="L689" s="270" t="s">
        <v>1939</v>
      </c>
    </row>
    <row r="690" spans="1:12" ht="21.75" customHeight="1" x14ac:dyDescent="0.25">
      <c r="A690" s="270">
        <v>1</v>
      </c>
      <c r="B690" s="307" t="s">
        <v>2760</v>
      </c>
      <c r="C690" s="306"/>
      <c r="D690" s="306"/>
      <c r="E690" s="306"/>
      <c r="F690" s="306"/>
      <c r="G690" s="306" t="s">
        <v>2761</v>
      </c>
      <c r="H690" s="306"/>
      <c r="I690" s="306"/>
      <c r="J690" s="306"/>
      <c r="K690" s="307">
        <v>78360</v>
      </c>
      <c r="L690" s="270" t="s">
        <v>1939</v>
      </c>
    </row>
    <row r="691" spans="1:12" ht="21.75" customHeight="1" x14ac:dyDescent="0.25">
      <c r="A691" s="270">
        <v>1</v>
      </c>
      <c r="B691" s="307" t="s">
        <v>2762</v>
      </c>
      <c r="C691" s="306"/>
      <c r="D691" s="306"/>
      <c r="E691" s="306"/>
      <c r="F691" s="306"/>
      <c r="G691" s="306" t="s">
        <v>2763</v>
      </c>
      <c r="H691" s="306"/>
      <c r="I691" s="306"/>
      <c r="J691" s="306"/>
      <c r="K691" s="307">
        <v>77400</v>
      </c>
      <c r="L691" s="270" t="s">
        <v>1939</v>
      </c>
    </row>
    <row r="692" spans="1:12" ht="21.75" customHeight="1" x14ac:dyDescent="0.25">
      <c r="A692" s="270">
        <v>1</v>
      </c>
      <c r="B692" s="307" t="s">
        <v>2764</v>
      </c>
      <c r="C692" s="306"/>
      <c r="D692" s="306"/>
      <c r="E692" s="306"/>
      <c r="F692" s="306"/>
      <c r="G692" s="306" t="s">
        <v>2765</v>
      </c>
      <c r="H692" s="306"/>
      <c r="I692" s="306"/>
      <c r="J692" s="306"/>
      <c r="K692" s="307">
        <v>77400</v>
      </c>
      <c r="L692" s="270" t="s">
        <v>1939</v>
      </c>
    </row>
    <row r="693" spans="1:12" ht="21.75" customHeight="1" x14ac:dyDescent="0.25">
      <c r="A693" s="270">
        <v>1</v>
      </c>
      <c r="B693" s="307" t="s">
        <v>2766</v>
      </c>
      <c r="C693" s="306"/>
      <c r="D693" s="306"/>
      <c r="E693" s="306"/>
      <c r="F693" s="306"/>
      <c r="G693" s="306" t="s">
        <v>2767</v>
      </c>
      <c r="H693" s="306"/>
      <c r="I693" s="306"/>
      <c r="J693" s="306"/>
      <c r="K693" s="307">
        <v>81600</v>
      </c>
      <c r="L693" s="270" t="s">
        <v>1939</v>
      </c>
    </row>
    <row r="694" spans="1:12" ht="21.75" customHeight="1" x14ac:dyDescent="0.25">
      <c r="A694" s="270">
        <v>1</v>
      </c>
      <c r="B694" s="307" t="s">
        <v>2768</v>
      </c>
      <c r="C694" s="306"/>
      <c r="D694" s="306"/>
      <c r="E694" s="306"/>
      <c r="F694" s="306"/>
      <c r="G694" s="306" t="s">
        <v>2769</v>
      </c>
      <c r="H694" s="306"/>
      <c r="I694" s="306"/>
      <c r="J694" s="306"/>
      <c r="K694" s="307">
        <v>81600</v>
      </c>
      <c r="L694" s="270" t="s">
        <v>1939</v>
      </c>
    </row>
    <row r="695" spans="1:12" ht="21.75" customHeight="1" x14ac:dyDescent="0.25">
      <c r="A695" s="270">
        <v>1</v>
      </c>
      <c r="B695" s="307" t="s">
        <v>2770</v>
      </c>
      <c r="C695" s="306"/>
      <c r="D695" s="306"/>
      <c r="E695" s="306"/>
      <c r="F695" s="306"/>
      <c r="G695" s="306" t="s">
        <v>2771</v>
      </c>
      <c r="H695" s="306"/>
      <c r="I695" s="306"/>
      <c r="J695" s="306"/>
      <c r="K695" s="307">
        <v>82920</v>
      </c>
      <c r="L695" s="270" t="s">
        <v>1939</v>
      </c>
    </row>
    <row r="696" spans="1:12" ht="21.75" customHeight="1" x14ac:dyDescent="0.25">
      <c r="A696" s="270">
        <v>1</v>
      </c>
      <c r="B696" s="307" t="s">
        <v>2772</v>
      </c>
      <c r="C696" s="306"/>
      <c r="D696" s="306"/>
      <c r="E696" s="306"/>
      <c r="F696" s="306"/>
      <c r="G696" s="306" t="s">
        <v>2773</v>
      </c>
      <c r="H696" s="306"/>
      <c r="I696" s="306"/>
      <c r="J696" s="306"/>
      <c r="K696" s="307">
        <v>82920</v>
      </c>
      <c r="L696" s="270" t="s">
        <v>1939</v>
      </c>
    </row>
    <row r="697" spans="1:12" ht="21.75" customHeight="1" x14ac:dyDescent="0.25">
      <c r="A697" s="270">
        <v>1</v>
      </c>
      <c r="B697" s="307" t="s">
        <v>2774</v>
      </c>
      <c r="C697" s="306"/>
      <c r="D697" s="306"/>
      <c r="E697" s="306"/>
      <c r="F697" s="306"/>
      <c r="G697" s="306" t="s">
        <v>2775</v>
      </c>
      <c r="H697" s="306"/>
      <c r="I697" s="306"/>
      <c r="J697" s="306"/>
      <c r="K697" s="307">
        <v>86520</v>
      </c>
      <c r="L697" s="270" t="s">
        <v>1939</v>
      </c>
    </row>
    <row r="698" spans="1:12" ht="21.75" customHeight="1" x14ac:dyDescent="0.25">
      <c r="A698" s="270">
        <v>1</v>
      </c>
      <c r="B698" s="307" t="s">
        <v>2776</v>
      </c>
      <c r="C698" s="306"/>
      <c r="D698" s="306"/>
      <c r="E698" s="306"/>
      <c r="F698" s="306"/>
      <c r="G698" s="306" t="s">
        <v>2777</v>
      </c>
      <c r="H698" s="306"/>
      <c r="I698" s="306"/>
      <c r="J698" s="306"/>
      <c r="K698" s="307">
        <v>86520</v>
      </c>
      <c r="L698" s="270" t="s">
        <v>1939</v>
      </c>
    </row>
    <row r="699" spans="1:12" ht="21.75" customHeight="1" x14ac:dyDescent="0.25">
      <c r="A699" s="270">
        <v>1</v>
      </c>
      <c r="B699" s="307" t="s">
        <v>2778</v>
      </c>
      <c r="C699" s="306"/>
      <c r="D699" s="306"/>
      <c r="E699" s="306"/>
      <c r="F699" s="306"/>
      <c r="G699" s="306" t="s">
        <v>2779</v>
      </c>
      <c r="H699" s="306"/>
      <c r="I699" s="306"/>
      <c r="J699" s="306"/>
      <c r="K699" s="307">
        <v>91080</v>
      </c>
      <c r="L699" s="270" t="s">
        <v>1939</v>
      </c>
    </row>
    <row r="700" spans="1:12" ht="21.75" customHeight="1" x14ac:dyDescent="0.25">
      <c r="A700" s="270">
        <v>1</v>
      </c>
      <c r="B700" s="307" t="s">
        <v>2780</v>
      </c>
      <c r="C700" s="306"/>
      <c r="D700" s="306"/>
      <c r="E700" s="306"/>
      <c r="F700" s="306"/>
      <c r="G700" s="306" t="s">
        <v>2781</v>
      </c>
      <c r="H700" s="306"/>
      <c r="I700" s="306"/>
      <c r="J700" s="306"/>
      <c r="K700" s="307">
        <v>91080</v>
      </c>
      <c r="L700" s="270" t="s">
        <v>1939</v>
      </c>
    </row>
    <row r="701" spans="1:12" ht="21.75" customHeight="1" x14ac:dyDescent="0.25">
      <c r="A701" s="270">
        <v>1</v>
      </c>
      <c r="B701" s="307" t="s">
        <v>2782</v>
      </c>
      <c r="C701" s="306"/>
      <c r="D701" s="306"/>
      <c r="E701" s="306"/>
      <c r="F701" s="306"/>
      <c r="G701" s="306" t="s">
        <v>2783</v>
      </c>
      <c r="H701" s="306"/>
      <c r="I701" s="306"/>
      <c r="J701" s="306"/>
      <c r="K701" s="307">
        <v>106800</v>
      </c>
      <c r="L701" s="270" t="s">
        <v>1939</v>
      </c>
    </row>
    <row r="702" spans="1:12" ht="21.75" customHeight="1" x14ac:dyDescent="0.25">
      <c r="A702" s="270">
        <v>1</v>
      </c>
      <c r="B702" s="307" t="s">
        <v>2784</v>
      </c>
      <c r="C702" s="306"/>
      <c r="D702" s="306"/>
      <c r="E702" s="306"/>
      <c r="F702" s="306"/>
      <c r="G702" s="306" t="s">
        <v>2785</v>
      </c>
      <c r="H702" s="306"/>
      <c r="I702" s="306"/>
      <c r="J702" s="306"/>
      <c r="K702" s="307">
        <v>111000</v>
      </c>
      <c r="L702" s="270" t="s">
        <v>1939</v>
      </c>
    </row>
    <row r="703" spans="1:12" ht="21.75" customHeight="1" x14ac:dyDescent="0.25">
      <c r="A703" s="270">
        <v>1</v>
      </c>
      <c r="B703" s="307" t="s">
        <v>2786</v>
      </c>
      <c r="C703" s="306"/>
      <c r="D703" s="306"/>
      <c r="E703" s="306"/>
      <c r="F703" s="306"/>
      <c r="G703" s="306" t="s">
        <v>2787</v>
      </c>
      <c r="H703" s="306"/>
      <c r="I703" s="306"/>
      <c r="J703" s="306"/>
      <c r="K703" s="307">
        <v>118080</v>
      </c>
      <c r="L703" s="270" t="s">
        <v>1939</v>
      </c>
    </row>
    <row r="704" spans="1:12" ht="21.75" customHeight="1" x14ac:dyDescent="0.25">
      <c r="A704" s="270">
        <v>1</v>
      </c>
      <c r="B704" s="307" t="s">
        <v>2788</v>
      </c>
      <c r="C704" s="306"/>
      <c r="D704" s="306"/>
      <c r="E704" s="306"/>
      <c r="F704" s="306"/>
      <c r="G704" s="306" t="s">
        <v>2789</v>
      </c>
      <c r="H704" s="306"/>
      <c r="I704" s="306"/>
      <c r="J704" s="306"/>
      <c r="K704" s="307">
        <v>118080</v>
      </c>
      <c r="L704" s="270" t="s">
        <v>1939</v>
      </c>
    </row>
    <row r="705" spans="1:12" ht="21.75" customHeight="1" x14ac:dyDescent="0.25">
      <c r="A705" s="270">
        <v>1</v>
      </c>
      <c r="B705" s="307" t="s">
        <v>2790</v>
      </c>
      <c r="C705" s="306"/>
      <c r="D705" s="306"/>
      <c r="E705" s="306"/>
      <c r="F705" s="306"/>
      <c r="G705" s="306" t="s">
        <v>2791</v>
      </c>
      <c r="H705" s="306"/>
      <c r="I705" s="306"/>
      <c r="J705" s="306"/>
      <c r="K705" s="307">
        <v>126120</v>
      </c>
      <c r="L705" s="270" t="s">
        <v>1939</v>
      </c>
    </row>
    <row r="706" spans="1:12" ht="21.75" customHeight="1" x14ac:dyDescent="0.25">
      <c r="A706" s="270">
        <v>1</v>
      </c>
      <c r="B706" s="307" t="s">
        <v>2792</v>
      </c>
      <c r="C706" s="306"/>
      <c r="D706" s="306"/>
      <c r="E706" s="306"/>
      <c r="F706" s="306"/>
      <c r="G706" s="306" t="s">
        <v>2793</v>
      </c>
      <c r="H706" s="306"/>
      <c r="I706" s="306"/>
      <c r="J706" s="306"/>
      <c r="K706" s="307">
        <v>66600</v>
      </c>
      <c r="L706" s="270" t="s">
        <v>1939</v>
      </c>
    </row>
    <row r="707" spans="1:12" ht="21.75" customHeight="1" x14ac:dyDescent="0.25">
      <c r="A707" s="270">
        <v>1</v>
      </c>
      <c r="B707" s="307" t="s">
        <v>2794</v>
      </c>
      <c r="C707" s="306"/>
      <c r="D707" s="306"/>
      <c r="E707" s="306"/>
      <c r="F707" s="306"/>
      <c r="G707" s="306" t="s">
        <v>2795</v>
      </c>
      <c r="H707" s="306"/>
      <c r="I707" s="306"/>
      <c r="J707" s="306"/>
      <c r="K707" s="307">
        <v>73920</v>
      </c>
      <c r="L707" s="270" t="s">
        <v>1939</v>
      </c>
    </row>
    <row r="708" spans="1:12" ht="21.75" customHeight="1" x14ac:dyDescent="0.25">
      <c r="A708" s="270">
        <v>1</v>
      </c>
      <c r="B708" s="307" t="s">
        <v>2796</v>
      </c>
      <c r="C708" s="306"/>
      <c r="D708" s="306"/>
      <c r="E708" s="306"/>
      <c r="F708" s="306"/>
      <c r="G708" s="306" t="s">
        <v>2797</v>
      </c>
      <c r="H708" s="306"/>
      <c r="I708" s="306"/>
      <c r="J708" s="306"/>
      <c r="K708" s="307">
        <v>73920</v>
      </c>
      <c r="L708" s="270" t="s">
        <v>1939</v>
      </c>
    </row>
    <row r="709" spans="1:12" ht="21.75" customHeight="1" x14ac:dyDescent="0.25">
      <c r="A709" s="270">
        <v>1</v>
      </c>
      <c r="B709" s="307" t="s">
        <v>2798</v>
      </c>
      <c r="C709" s="306"/>
      <c r="D709" s="306"/>
      <c r="E709" s="306"/>
      <c r="F709" s="306"/>
      <c r="G709" s="306" t="s">
        <v>2799</v>
      </c>
      <c r="H709" s="306"/>
      <c r="I709" s="306"/>
      <c r="J709" s="306"/>
      <c r="K709" s="307">
        <v>133920</v>
      </c>
      <c r="L709" s="270" t="s">
        <v>1939</v>
      </c>
    </row>
    <row r="710" spans="1:12" ht="21.75" customHeight="1" x14ac:dyDescent="0.25">
      <c r="A710" s="270">
        <v>1</v>
      </c>
      <c r="B710" s="307" t="s">
        <v>2800</v>
      </c>
      <c r="C710" s="306"/>
      <c r="D710" s="306"/>
      <c r="E710" s="306"/>
      <c r="F710" s="306"/>
      <c r="G710" s="306" t="s">
        <v>2801</v>
      </c>
      <c r="H710" s="306"/>
      <c r="I710" s="306"/>
      <c r="J710" s="306"/>
      <c r="K710" s="307">
        <v>100320</v>
      </c>
      <c r="L710" s="270" t="s">
        <v>1939</v>
      </c>
    </row>
    <row r="711" spans="1:12" ht="21.75" customHeight="1" x14ac:dyDescent="0.25">
      <c r="A711" s="270">
        <v>1</v>
      </c>
      <c r="B711" s="307" t="s">
        <v>2802</v>
      </c>
      <c r="C711" s="306"/>
      <c r="D711" s="306"/>
      <c r="E711" s="306"/>
      <c r="F711" s="306"/>
      <c r="G711" s="306" t="s">
        <v>2803</v>
      </c>
      <c r="H711" s="306"/>
      <c r="I711" s="306"/>
      <c r="J711" s="306"/>
      <c r="K711" s="307">
        <v>107880</v>
      </c>
      <c r="L711" s="270" t="s">
        <v>1939</v>
      </c>
    </row>
    <row r="712" spans="1:12" ht="21.75" customHeight="1" x14ac:dyDescent="0.25">
      <c r="A712" s="270">
        <v>1</v>
      </c>
      <c r="B712" s="307" t="s">
        <v>2804</v>
      </c>
      <c r="C712" s="306"/>
      <c r="D712" s="306"/>
      <c r="E712" s="306"/>
      <c r="F712" s="306"/>
      <c r="G712" s="306" t="s">
        <v>2805</v>
      </c>
      <c r="H712" s="306"/>
      <c r="I712" s="306"/>
      <c r="J712" s="306"/>
      <c r="K712" s="307">
        <v>111480</v>
      </c>
      <c r="L712" s="270" t="s">
        <v>1939</v>
      </c>
    </row>
    <row r="713" spans="1:12" ht="21.75" customHeight="1" x14ac:dyDescent="0.25">
      <c r="A713" s="270">
        <v>1</v>
      </c>
      <c r="B713" s="307" t="s">
        <v>2806</v>
      </c>
      <c r="C713" s="306"/>
      <c r="D713" s="306"/>
      <c r="E713" s="306"/>
      <c r="F713" s="306"/>
      <c r="G713" s="306" t="s">
        <v>2807</v>
      </c>
      <c r="H713" s="306"/>
      <c r="I713" s="306"/>
      <c r="J713" s="306"/>
      <c r="K713" s="307">
        <v>111480</v>
      </c>
      <c r="L713" s="270" t="s">
        <v>1939</v>
      </c>
    </row>
    <row r="714" spans="1:12" ht="21.75" customHeight="1" x14ac:dyDescent="0.25">
      <c r="A714" s="270">
        <v>1</v>
      </c>
      <c r="B714" s="307" t="s">
        <v>2808</v>
      </c>
      <c r="C714" s="306"/>
      <c r="D714" s="306"/>
      <c r="E714" s="306"/>
      <c r="F714" s="306"/>
      <c r="G714" s="306" t="s">
        <v>2809</v>
      </c>
      <c r="H714" s="306"/>
      <c r="I714" s="306"/>
      <c r="J714" s="306"/>
      <c r="K714" s="307">
        <v>166080</v>
      </c>
      <c r="L714" s="270" t="s">
        <v>1939</v>
      </c>
    </row>
    <row r="715" spans="1:12" ht="21.75" customHeight="1" x14ac:dyDescent="0.25">
      <c r="A715" s="270">
        <v>1</v>
      </c>
      <c r="B715" s="307" t="s">
        <v>2810</v>
      </c>
      <c r="C715" s="306"/>
      <c r="D715" s="306"/>
      <c r="E715" s="306"/>
      <c r="F715" s="306"/>
      <c r="G715" s="306" t="s">
        <v>2811</v>
      </c>
      <c r="H715" s="306"/>
      <c r="I715" s="306"/>
      <c r="J715" s="306"/>
      <c r="K715" s="307">
        <v>69360</v>
      </c>
      <c r="L715" s="270" t="s">
        <v>1939</v>
      </c>
    </row>
    <row r="716" spans="1:12" ht="21.75" customHeight="1" x14ac:dyDescent="0.25">
      <c r="A716" s="270">
        <v>1</v>
      </c>
      <c r="B716" s="307" t="s">
        <v>2812</v>
      </c>
      <c r="C716" s="306"/>
      <c r="D716" s="306"/>
      <c r="E716" s="306"/>
      <c r="F716" s="306"/>
      <c r="G716" s="306" t="s">
        <v>2813</v>
      </c>
      <c r="H716" s="306"/>
      <c r="I716" s="306"/>
      <c r="J716" s="306"/>
      <c r="K716" s="307">
        <v>69360</v>
      </c>
      <c r="L716" s="270" t="s">
        <v>1939</v>
      </c>
    </row>
    <row r="717" spans="1:12" ht="21.75" customHeight="1" x14ac:dyDescent="0.25">
      <c r="A717" s="270">
        <v>1</v>
      </c>
      <c r="B717" s="307" t="s">
        <v>2814</v>
      </c>
      <c r="C717" s="306"/>
      <c r="D717" s="306"/>
      <c r="E717" s="306"/>
      <c r="F717" s="306"/>
      <c r="G717" s="306" t="s">
        <v>2815</v>
      </c>
      <c r="H717" s="306"/>
      <c r="I717" s="306"/>
      <c r="J717" s="306"/>
      <c r="K717" s="307">
        <v>72240</v>
      </c>
      <c r="L717" s="270" t="s">
        <v>1939</v>
      </c>
    </row>
    <row r="718" spans="1:12" ht="21.75" customHeight="1" x14ac:dyDescent="0.25">
      <c r="A718" s="270">
        <v>1</v>
      </c>
      <c r="B718" s="307" t="s">
        <v>2816</v>
      </c>
      <c r="C718" s="306"/>
      <c r="D718" s="306"/>
      <c r="E718" s="306"/>
      <c r="F718" s="306"/>
      <c r="G718" s="306" t="s">
        <v>2817</v>
      </c>
      <c r="H718" s="306"/>
      <c r="I718" s="306"/>
      <c r="J718" s="306"/>
      <c r="K718" s="307">
        <v>72240</v>
      </c>
      <c r="L718" s="270" t="s">
        <v>1939</v>
      </c>
    </row>
    <row r="719" spans="1:12" ht="21.75" customHeight="1" x14ac:dyDescent="0.25">
      <c r="A719" s="270">
        <v>1</v>
      </c>
      <c r="B719" s="307" t="s">
        <v>2818</v>
      </c>
      <c r="C719" s="306"/>
      <c r="D719" s="306"/>
      <c r="E719" s="306"/>
      <c r="F719" s="306"/>
      <c r="G719" s="306" t="s">
        <v>2819</v>
      </c>
      <c r="H719" s="306"/>
      <c r="I719" s="306"/>
      <c r="J719" s="306"/>
      <c r="K719" s="307">
        <v>72960</v>
      </c>
      <c r="L719" s="270" t="s">
        <v>1939</v>
      </c>
    </row>
    <row r="720" spans="1:12" ht="21.75" customHeight="1" x14ac:dyDescent="0.25">
      <c r="A720" s="270">
        <v>1</v>
      </c>
      <c r="B720" s="307" t="s">
        <v>2820</v>
      </c>
      <c r="C720" s="306"/>
      <c r="D720" s="306"/>
      <c r="E720" s="306"/>
      <c r="F720" s="306"/>
      <c r="G720" s="306" t="s">
        <v>2821</v>
      </c>
      <c r="H720" s="306"/>
      <c r="I720" s="306"/>
      <c r="J720" s="306"/>
      <c r="K720" s="307">
        <v>72960</v>
      </c>
      <c r="L720" s="270" t="s">
        <v>1939</v>
      </c>
    </row>
    <row r="721" spans="1:12" ht="21.75" customHeight="1" x14ac:dyDescent="0.25">
      <c r="A721" s="270">
        <v>1</v>
      </c>
      <c r="B721" s="308" t="s">
        <v>2822</v>
      </c>
      <c r="C721" s="306"/>
      <c r="D721" s="306"/>
      <c r="E721" s="306"/>
      <c r="F721" s="306"/>
      <c r="G721" s="306" t="s">
        <v>2823</v>
      </c>
      <c r="H721" s="306"/>
      <c r="I721" s="306"/>
      <c r="J721" s="306"/>
      <c r="K721" s="308">
        <v>75480</v>
      </c>
      <c r="L721" s="270" t="s">
        <v>1939</v>
      </c>
    </row>
    <row r="722" spans="1:12" ht="21.75" customHeight="1" x14ac:dyDescent="0.25">
      <c r="A722" s="270">
        <v>1</v>
      </c>
      <c r="B722" s="307" t="s">
        <v>2824</v>
      </c>
      <c r="C722" s="306"/>
      <c r="D722" s="306"/>
      <c r="E722" s="306"/>
      <c r="F722" s="306"/>
      <c r="G722" s="306" t="s">
        <v>2825</v>
      </c>
      <c r="H722" s="306"/>
      <c r="I722" s="306"/>
      <c r="J722" s="306"/>
      <c r="K722" s="307">
        <v>75480</v>
      </c>
      <c r="L722" s="270" t="s">
        <v>1939</v>
      </c>
    </row>
    <row r="723" spans="1:12" ht="21.75" customHeight="1" x14ac:dyDescent="0.25">
      <c r="A723" s="270">
        <v>1</v>
      </c>
      <c r="B723" s="307" t="s">
        <v>2826</v>
      </c>
      <c r="C723" s="306"/>
      <c r="D723" s="306"/>
      <c r="E723" s="306"/>
      <c r="F723" s="306"/>
      <c r="G723" s="306" t="s">
        <v>2827</v>
      </c>
      <c r="H723" s="306"/>
      <c r="I723" s="306"/>
      <c r="J723" s="306"/>
      <c r="K723" s="307">
        <v>78480</v>
      </c>
      <c r="L723" s="270" t="s">
        <v>1939</v>
      </c>
    </row>
    <row r="724" spans="1:12" ht="21.75" customHeight="1" x14ac:dyDescent="0.25">
      <c r="A724" s="270">
        <v>1</v>
      </c>
      <c r="B724" s="307" t="s">
        <v>2828</v>
      </c>
      <c r="C724" s="306"/>
      <c r="D724" s="306"/>
      <c r="E724" s="306"/>
      <c r="F724" s="306"/>
      <c r="G724" s="306" t="s">
        <v>2829</v>
      </c>
      <c r="H724" s="306"/>
      <c r="I724" s="306"/>
      <c r="J724" s="306"/>
      <c r="K724" s="307">
        <v>78480</v>
      </c>
      <c r="L724" s="270" t="s">
        <v>1939</v>
      </c>
    </row>
    <row r="725" spans="1:12" ht="21.75" customHeight="1" x14ac:dyDescent="0.25">
      <c r="A725" s="270">
        <v>1</v>
      </c>
      <c r="B725" s="307" t="s">
        <v>2830</v>
      </c>
      <c r="C725" s="306"/>
      <c r="D725" s="306"/>
      <c r="E725" s="306"/>
      <c r="F725" s="306"/>
      <c r="G725" s="306" t="s">
        <v>2831</v>
      </c>
      <c r="H725" s="306"/>
      <c r="I725" s="306"/>
      <c r="J725" s="306"/>
      <c r="K725" s="307">
        <v>89160</v>
      </c>
      <c r="L725" s="270" t="s">
        <v>1939</v>
      </c>
    </row>
    <row r="726" spans="1:12" ht="21.75" customHeight="1" x14ac:dyDescent="0.25">
      <c r="A726" s="270">
        <v>1</v>
      </c>
      <c r="B726" s="307" t="s">
        <v>2832</v>
      </c>
      <c r="C726" s="306"/>
      <c r="D726" s="306"/>
      <c r="E726" s="306"/>
      <c r="F726" s="306"/>
      <c r="G726" s="306" t="s">
        <v>2833</v>
      </c>
      <c r="H726" s="306"/>
      <c r="I726" s="306"/>
      <c r="J726" s="306"/>
      <c r="K726" s="307">
        <v>92040</v>
      </c>
      <c r="L726" s="270" t="s">
        <v>1939</v>
      </c>
    </row>
    <row r="727" spans="1:12" ht="21.75" customHeight="1" x14ac:dyDescent="0.25">
      <c r="A727" s="270">
        <v>1</v>
      </c>
      <c r="B727" s="307" t="s">
        <v>2834</v>
      </c>
      <c r="C727" s="306"/>
      <c r="D727" s="306"/>
      <c r="E727" s="306"/>
      <c r="F727" s="306"/>
      <c r="G727" s="306" t="s">
        <v>2835</v>
      </c>
      <c r="H727" s="306"/>
      <c r="I727" s="306"/>
      <c r="J727" s="306"/>
      <c r="K727" s="307">
        <v>96960</v>
      </c>
      <c r="L727" s="270" t="s">
        <v>1939</v>
      </c>
    </row>
    <row r="728" spans="1:12" ht="21.75" customHeight="1" x14ac:dyDescent="0.25">
      <c r="A728" s="270">
        <v>1</v>
      </c>
      <c r="B728" s="307" t="s">
        <v>2836</v>
      </c>
      <c r="C728" s="306"/>
      <c r="D728" s="306"/>
      <c r="E728" s="306"/>
      <c r="F728" s="306"/>
      <c r="G728" s="306" t="s">
        <v>2837</v>
      </c>
      <c r="H728" s="306"/>
      <c r="I728" s="306"/>
      <c r="J728" s="306"/>
      <c r="K728" s="307">
        <v>96960</v>
      </c>
      <c r="L728" s="270" t="s">
        <v>1939</v>
      </c>
    </row>
    <row r="729" spans="1:12" ht="21.75" customHeight="1" x14ac:dyDescent="0.25">
      <c r="A729" s="270">
        <v>1</v>
      </c>
      <c r="B729" s="307" t="s">
        <v>2838</v>
      </c>
      <c r="C729" s="306"/>
      <c r="D729" s="306"/>
      <c r="E729" s="306"/>
      <c r="F729" s="306"/>
      <c r="G729" s="306" t="s">
        <v>2839</v>
      </c>
      <c r="H729" s="306"/>
      <c r="I729" s="306"/>
      <c r="J729" s="306"/>
      <c r="K729" s="307">
        <v>72480</v>
      </c>
      <c r="L729" s="270" t="s">
        <v>1939</v>
      </c>
    </row>
    <row r="730" spans="1:12" ht="21.75" customHeight="1" x14ac:dyDescent="0.25">
      <c r="A730" s="270">
        <v>1</v>
      </c>
      <c r="B730" s="307" t="s">
        <v>2840</v>
      </c>
      <c r="C730" s="306"/>
      <c r="D730" s="306"/>
      <c r="E730" s="306"/>
      <c r="F730" s="306"/>
      <c r="G730" s="306" t="s">
        <v>2841</v>
      </c>
      <c r="H730" s="306"/>
      <c r="I730" s="306"/>
      <c r="J730" s="306"/>
      <c r="K730" s="307">
        <v>72480</v>
      </c>
      <c r="L730" s="270" t="s">
        <v>1939</v>
      </c>
    </row>
    <row r="731" spans="1:12" ht="21.75" customHeight="1" x14ac:dyDescent="0.25">
      <c r="A731" s="270">
        <v>1</v>
      </c>
      <c r="B731" s="307" t="s">
        <v>2842</v>
      </c>
      <c r="C731" s="306"/>
      <c r="D731" s="306"/>
      <c r="E731" s="306"/>
      <c r="F731" s="306"/>
      <c r="G731" s="306" t="s">
        <v>2843</v>
      </c>
      <c r="H731" s="306"/>
      <c r="I731" s="306"/>
      <c r="J731" s="306"/>
      <c r="K731" s="307">
        <v>75480</v>
      </c>
      <c r="L731" s="270" t="s">
        <v>1939</v>
      </c>
    </row>
    <row r="732" spans="1:12" ht="21.75" customHeight="1" x14ac:dyDescent="0.25">
      <c r="A732" s="270">
        <v>1</v>
      </c>
      <c r="B732" s="307" t="s">
        <v>2844</v>
      </c>
      <c r="C732" s="306"/>
      <c r="D732" s="306"/>
      <c r="E732" s="306"/>
      <c r="F732" s="306"/>
      <c r="G732" s="306" t="s">
        <v>2845</v>
      </c>
      <c r="H732" s="306"/>
      <c r="I732" s="306"/>
      <c r="J732" s="306"/>
      <c r="K732" s="307">
        <v>75480</v>
      </c>
      <c r="L732" s="270" t="s">
        <v>1939</v>
      </c>
    </row>
    <row r="733" spans="1:12" ht="21.75" customHeight="1" x14ac:dyDescent="0.25">
      <c r="A733" s="270">
        <v>1</v>
      </c>
      <c r="B733" s="307" t="s">
        <v>2846</v>
      </c>
      <c r="C733" s="306"/>
      <c r="D733" s="306"/>
      <c r="E733" s="306"/>
      <c r="F733" s="306"/>
      <c r="G733" s="306" t="s">
        <v>2847</v>
      </c>
      <c r="H733" s="306"/>
      <c r="I733" s="306"/>
      <c r="J733" s="306"/>
      <c r="K733" s="307">
        <v>76560</v>
      </c>
      <c r="L733" s="270" t="s">
        <v>1939</v>
      </c>
    </row>
    <row r="734" spans="1:12" ht="21.75" customHeight="1" x14ac:dyDescent="0.25">
      <c r="A734" s="270">
        <v>1</v>
      </c>
      <c r="B734" s="307" t="s">
        <v>2848</v>
      </c>
      <c r="C734" s="306"/>
      <c r="D734" s="306"/>
      <c r="E734" s="306"/>
      <c r="F734" s="306"/>
      <c r="G734" s="306" t="s">
        <v>2849</v>
      </c>
      <c r="H734" s="306"/>
      <c r="I734" s="306"/>
      <c r="J734" s="306"/>
      <c r="K734" s="307">
        <v>76560</v>
      </c>
      <c r="L734" s="270" t="s">
        <v>1939</v>
      </c>
    </row>
    <row r="735" spans="1:12" ht="21.75" customHeight="1" x14ac:dyDescent="0.25">
      <c r="A735" s="270">
        <v>1</v>
      </c>
      <c r="B735" s="307" t="s">
        <v>2850</v>
      </c>
      <c r="C735" s="306"/>
      <c r="D735" s="306"/>
      <c r="E735" s="306"/>
      <c r="F735" s="306"/>
      <c r="G735" s="306" t="s">
        <v>2851</v>
      </c>
      <c r="H735" s="306"/>
      <c r="I735" s="306"/>
      <c r="J735" s="306"/>
      <c r="K735" s="307">
        <v>79080</v>
      </c>
      <c r="L735" s="270" t="s">
        <v>1939</v>
      </c>
    </row>
    <row r="736" spans="1:12" ht="21.75" customHeight="1" x14ac:dyDescent="0.25">
      <c r="A736" s="270">
        <v>1</v>
      </c>
      <c r="B736" s="307" t="s">
        <v>2852</v>
      </c>
      <c r="C736" s="306"/>
      <c r="D736" s="306"/>
      <c r="E736" s="306"/>
      <c r="F736" s="306"/>
      <c r="G736" s="306" t="s">
        <v>2853</v>
      </c>
      <c r="H736" s="306"/>
      <c r="I736" s="306"/>
      <c r="J736" s="306"/>
      <c r="K736" s="307">
        <v>79080</v>
      </c>
      <c r="L736" s="270" t="s">
        <v>1939</v>
      </c>
    </row>
    <row r="737" spans="1:12" ht="21.75" customHeight="1" x14ac:dyDescent="0.25">
      <c r="A737" s="270">
        <v>1</v>
      </c>
      <c r="B737" s="307" t="s">
        <v>2854</v>
      </c>
      <c r="C737" s="306"/>
      <c r="D737" s="306"/>
      <c r="E737" s="306"/>
      <c r="F737" s="306"/>
      <c r="G737" s="306" t="s">
        <v>2855</v>
      </c>
      <c r="H737" s="306"/>
      <c r="I737" s="306"/>
      <c r="J737" s="306"/>
      <c r="K737" s="307">
        <v>82200</v>
      </c>
      <c r="L737" s="270" t="s">
        <v>1939</v>
      </c>
    </row>
    <row r="738" spans="1:12" ht="21.75" customHeight="1" x14ac:dyDescent="0.25">
      <c r="A738" s="270">
        <v>1</v>
      </c>
      <c r="B738" s="307" t="s">
        <v>2856</v>
      </c>
      <c r="C738" s="306"/>
      <c r="D738" s="306"/>
      <c r="E738" s="306"/>
      <c r="F738" s="306"/>
      <c r="G738" s="306" t="s">
        <v>2857</v>
      </c>
      <c r="H738" s="306"/>
      <c r="I738" s="306"/>
      <c r="J738" s="306"/>
      <c r="K738" s="307">
        <v>82200</v>
      </c>
      <c r="L738" s="270" t="s">
        <v>1939</v>
      </c>
    </row>
    <row r="739" spans="1:12" ht="21.75" customHeight="1" x14ac:dyDescent="0.25">
      <c r="A739" s="270">
        <v>1</v>
      </c>
      <c r="B739" s="307" t="s">
        <v>2858</v>
      </c>
      <c r="C739" s="306"/>
      <c r="D739" s="306"/>
      <c r="E739" s="306"/>
      <c r="F739" s="306"/>
      <c r="G739" s="306" t="s">
        <v>2859</v>
      </c>
      <c r="H739" s="306"/>
      <c r="I739" s="306"/>
      <c r="J739" s="306"/>
      <c r="K739" s="307">
        <v>93840</v>
      </c>
      <c r="L739" s="270" t="s">
        <v>1939</v>
      </c>
    </row>
    <row r="740" spans="1:12" ht="21.75" customHeight="1" x14ac:dyDescent="0.25">
      <c r="A740" s="270">
        <v>1</v>
      </c>
      <c r="B740" s="313" t="s">
        <v>2860</v>
      </c>
      <c r="G740" s="270" t="s">
        <v>2861</v>
      </c>
      <c r="K740" s="313">
        <v>96600</v>
      </c>
      <c r="L740" s="270" t="s">
        <v>1939</v>
      </c>
    </row>
    <row r="741" spans="1:12" ht="21.75" customHeight="1" x14ac:dyDescent="0.25">
      <c r="A741" s="270">
        <v>1</v>
      </c>
      <c r="B741" s="313" t="s">
        <v>2862</v>
      </c>
      <c r="G741" s="270" t="s">
        <v>2863</v>
      </c>
      <c r="K741" s="313">
        <v>101880</v>
      </c>
      <c r="L741" s="270" t="s">
        <v>1939</v>
      </c>
    </row>
    <row r="742" spans="1:12" ht="21.75" customHeight="1" x14ac:dyDescent="0.25">
      <c r="A742" s="270">
        <v>1</v>
      </c>
      <c r="B742" s="313" t="s">
        <v>2864</v>
      </c>
      <c r="G742" s="270" t="s">
        <v>2865</v>
      </c>
      <c r="K742" s="313">
        <v>101880</v>
      </c>
      <c r="L742" s="270" t="s">
        <v>1939</v>
      </c>
    </row>
    <row r="743" spans="1:12" ht="21.75" customHeight="1" x14ac:dyDescent="0.25">
      <c r="A743" s="270">
        <v>1</v>
      </c>
      <c r="B743" s="313" t="s">
        <v>2866</v>
      </c>
      <c r="G743" s="270" t="s">
        <v>2867</v>
      </c>
      <c r="K743" s="313">
        <v>100800</v>
      </c>
      <c r="L743" s="270" t="s">
        <v>1939</v>
      </c>
    </row>
    <row r="744" spans="1:12" ht="21.75" customHeight="1" x14ac:dyDescent="0.25">
      <c r="A744" s="270">
        <v>1</v>
      </c>
      <c r="B744" s="313" t="s">
        <v>2868</v>
      </c>
      <c r="G744" s="270" t="s">
        <v>2869</v>
      </c>
      <c r="K744" s="313">
        <v>100800</v>
      </c>
      <c r="L744" s="270" t="s">
        <v>1939</v>
      </c>
    </row>
    <row r="745" spans="1:12" ht="21.75" customHeight="1" x14ac:dyDescent="0.25">
      <c r="A745" s="270">
        <v>1</v>
      </c>
      <c r="B745" s="313" t="s">
        <v>2870</v>
      </c>
      <c r="G745" s="270" t="s">
        <v>2871</v>
      </c>
      <c r="K745" s="313">
        <v>105360</v>
      </c>
      <c r="L745" s="270" t="s">
        <v>1939</v>
      </c>
    </row>
    <row r="746" spans="1:12" ht="21.75" customHeight="1" x14ac:dyDescent="0.25">
      <c r="A746" s="270">
        <v>1</v>
      </c>
      <c r="B746" s="313" t="s">
        <v>2872</v>
      </c>
      <c r="G746" s="270" t="s">
        <v>2873</v>
      </c>
      <c r="K746" s="313">
        <v>105360</v>
      </c>
      <c r="L746" s="270" t="s">
        <v>1939</v>
      </c>
    </row>
    <row r="747" spans="1:12" ht="21.75" customHeight="1" x14ac:dyDescent="0.25">
      <c r="A747" s="270">
        <v>1</v>
      </c>
      <c r="B747" s="313" t="s">
        <v>2874</v>
      </c>
      <c r="G747" s="270" t="s">
        <v>2875</v>
      </c>
      <c r="K747" s="313">
        <v>106800</v>
      </c>
      <c r="L747" s="270" t="s">
        <v>1939</v>
      </c>
    </row>
    <row r="748" spans="1:12" ht="21.75" customHeight="1" x14ac:dyDescent="0.25">
      <c r="A748" s="270">
        <v>1</v>
      </c>
      <c r="B748" s="313" t="s">
        <v>2876</v>
      </c>
      <c r="G748" s="270" t="s">
        <v>2877</v>
      </c>
      <c r="K748" s="313">
        <v>106800</v>
      </c>
      <c r="L748" s="270" t="s">
        <v>1939</v>
      </c>
    </row>
    <row r="749" spans="1:12" ht="21.75" customHeight="1" x14ac:dyDescent="0.25">
      <c r="A749" s="270">
        <v>1</v>
      </c>
      <c r="B749" s="313" t="s">
        <v>2878</v>
      </c>
      <c r="G749" s="270" t="s">
        <v>2879</v>
      </c>
      <c r="K749" s="313">
        <v>110808</v>
      </c>
      <c r="L749" s="270" t="s">
        <v>1939</v>
      </c>
    </row>
    <row r="750" spans="1:12" ht="21.75" customHeight="1" x14ac:dyDescent="0.25">
      <c r="A750" s="270">
        <v>1</v>
      </c>
      <c r="B750" s="313" t="s">
        <v>2880</v>
      </c>
      <c r="G750" s="270" t="s">
        <v>2881</v>
      </c>
      <c r="K750" s="313">
        <v>110808</v>
      </c>
      <c r="L750" s="270" t="s">
        <v>1939</v>
      </c>
    </row>
    <row r="751" spans="1:12" ht="21.75" customHeight="1" x14ac:dyDescent="0.25">
      <c r="A751" s="270">
        <v>1</v>
      </c>
      <c r="B751" s="313" t="s">
        <v>2882</v>
      </c>
      <c r="G751" s="270" t="s">
        <v>2883</v>
      </c>
      <c r="K751" s="313">
        <v>115728</v>
      </c>
      <c r="L751" s="270" t="s">
        <v>1939</v>
      </c>
    </row>
    <row r="752" spans="1:12" ht="21.75" customHeight="1" x14ac:dyDescent="0.25">
      <c r="A752" s="270">
        <v>1</v>
      </c>
      <c r="B752" s="313" t="s">
        <v>2884</v>
      </c>
      <c r="G752" s="270" t="s">
        <v>2885</v>
      </c>
      <c r="K752" s="313">
        <v>115728</v>
      </c>
      <c r="L752" s="270" t="s">
        <v>1939</v>
      </c>
    </row>
    <row r="753" spans="1:12" ht="21.75" customHeight="1" x14ac:dyDescent="0.25">
      <c r="A753" s="270">
        <v>1</v>
      </c>
      <c r="B753" s="313" t="s">
        <v>2886</v>
      </c>
      <c r="G753" s="270" t="s">
        <v>2887</v>
      </c>
      <c r="K753" s="313">
        <v>133200</v>
      </c>
      <c r="L753" s="270" t="s">
        <v>1939</v>
      </c>
    </row>
    <row r="754" spans="1:12" ht="21.75" customHeight="1" x14ac:dyDescent="0.25">
      <c r="A754" s="270">
        <v>1</v>
      </c>
      <c r="B754" s="313" t="s">
        <v>2888</v>
      </c>
      <c r="G754" s="270" t="s">
        <v>2889</v>
      </c>
      <c r="K754" s="313">
        <v>137760</v>
      </c>
      <c r="L754" s="270" t="s">
        <v>1939</v>
      </c>
    </row>
    <row r="755" spans="1:12" ht="21.75" customHeight="1" x14ac:dyDescent="0.25">
      <c r="A755" s="270">
        <v>1</v>
      </c>
      <c r="B755" s="313" t="s">
        <v>2890</v>
      </c>
      <c r="G755" s="270" t="s">
        <v>2891</v>
      </c>
      <c r="K755" s="313">
        <v>145560</v>
      </c>
      <c r="L755" s="270" t="s">
        <v>1939</v>
      </c>
    </row>
    <row r="756" spans="1:12" ht="21.75" customHeight="1" x14ac:dyDescent="0.25">
      <c r="A756" s="270">
        <v>1</v>
      </c>
      <c r="B756" s="313" t="s">
        <v>2892</v>
      </c>
      <c r="G756" s="270" t="s">
        <v>2893</v>
      </c>
      <c r="K756" s="313">
        <v>145560</v>
      </c>
      <c r="L756" s="270" t="s">
        <v>1939</v>
      </c>
    </row>
    <row r="757" spans="1:12" ht="21.75" customHeight="1" x14ac:dyDescent="0.25">
      <c r="A757" s="270">
        <v>1</v>
      </c>
      <c r="B757" s="313" t="s">
        <v>2894</v>
      </c>
      <c r="G757" s="270" t="s">
        <v>2895</v>
      </c>
      <c r="K757" s="313">
        <v>182880</v>
      </c>
      <c r="L757" s="270" t="s">
        <v>1939</v>
      </c>
    </row>
    <row r="758" spans="1:12" ht="21.75" customHeight="1" x14ac:dyDescent="0.25">
      <c r="A758" s="270">
        <v>1</v>
      </c>
      <c r="B758" s="313" t="s">
        <v>2896</v>
      </c>
      <c r="G758" s="270" t="s">
        <v>2897</v>
      </c>
      <c r="K758" s="313">
        <v>218400</v>
      </c>
      <c r="L758" s="270" t="s">
        <v>1939</v>
      </c>
    </row>
    <row r="759" spans="1:12" ht="21.75" customHeight="1" x14ac:dyDescent="0.25">
      <c r="A759" s="270">
        <v>1</v>
      </c>
      <c r="B759" s="313" t="s">
        <v>2898</v>
      </c>
      <c r="G759" s="270" t="s">
        <v>2899</v>
      </c>
      <c r="K759" s="313">
        <v>27000</v>
      </c>
      <c r="L759" s="270" t="s">
        <v>1939</v>
      </c>
    </row>
    <row r="760" spans="1:12" ht="21.75" customHeight="1" x14ac:dyDescent="0.25">
      <c r="A760" s="270">
        <v>1</v>
      </c>
      <c r="B760" s="313" t="s">
        <v>2900</v>
      </c>
      <c r="G760" s="270" t="s">
        <v>2901</v>
      </c>
      <c r="K760" s="313">
        <v>3180</v>
      </c>
      <c r="L760" s="270" t="s">
        <v>1939</v>
      </c>
    </row>
    <row r="761" spans="1:12" ht="21.75" customHeight="1" x14ac:dyDescent="0.25">
      <c r="A761" s="270">
        <v>1</v>
      </c>
      <c r="B761" s="313" t="s">
        <v>2902</v>
      </c>
      <c r="G761" s="270" t="s">
        <v>2903</v>
      </c>
      <c r="K761" s="313">
        <v>28200</v>
      </c>
      <c r="L761" s="270" t="s">
        <v>1939</v>
      </c>
    </row>
    <row r="762" spans="1:12" ht="21.75" customHeight="1" x14ac:dyDescent="0.25">
      <c r="A762" s="270">
        <v>1</v>
      </c>
      <c r="B762" s="313" t="s">
        <v>2904</v>
      </c>
      <c r="G762" s="270" t="s">
        <v>2905</v>
      </c>
      <c r="K762" s="313">
        <v>3180</v>
      </c>
      <c r="L762" s="270" t="s">
        <v>1939</v>
      </c>
    </row>
    <row r="763" spans="1:12" ht="21.75" customHeight="1" x14ac:dyDescent="0.25">
      <c r="A763" s="270">
        <v>1</v>
      </c>
      <c r="B763" s="313" t="s">
        <v>2906</v>
      </c>
      <c r="G763" s="270" t="s">
        <v>1213</v>
      </c>
      <c r="K763" s="313">
        <v>8699</v>
      </c>
      <c r="L763" s="270" t="s">
        <v>1939</v>
      </c>
    </row>
    <row r="764" spans="1:12" ht="21.75" customHeight="1" x14ac:dyDescent="0.25">
      <c r="A764" s="270">
        <v>1</v>
      </c>
      <c r="B764" s="313" t="s">
        <v>2907</v>
      </c>
      <c r="G764" s="270" t="s">
        <v>1236</v>
      </c>
      <c r="K764" s="313">
        <v>10095</v>
      </c>
      <c r="L764" s="270" t="s">
        <v>1939</v>
      </c>
    </row>
    <row r="765" spans="1:12" ht="21.75" customHeight="1" x14ac:dyDescent="0.25">
      <c r="A765" s="270">
        <v>1</v>
      </c>
      <c r="B765" s="313" t="s">
        <v>2908</v>
      </c>
      <c r="G765" s="270" t="s">
        <v>1257</v>
      </c>
      <c r="K765" s="313">
        <v>14366</v>
      </c>
      <c r="L765" s="270" t="s">
        <v>1939</v>
      </c>
    </row>
    <row r="766" spans="1:12" ht="21.75" customHeight="1" x14ac:dyDescent="0.25">
      <c r="A766" s="270">
        <v>1</v>
      </c>
      <c r="B766" s="313" t="s">
        <v>2909</v>
      </c>
      <c r="G766" s="270" t="s">
        <v>2910</v>
      </c>
      <c r="K766" s="313">
        <v>0</v>
      </c>
      <c r="L766" s="270" t="s">
        <v>1939</v>
      </c>
    </row>
    <row r="767" spans="1:12" ht="21.75" customHeight="1" x14ac:dyDescent="0.25">
      <c r="A767" s="270">
        <v>1</v>
      </c>
      <c r="B767" s="313" t="s">
        <v>2911</v>
      </c>
      <c r="G767" s="270" t="s">
        <v>2912</v>
      </c>
      <c r="K767" s="313">
        <v>0</v>
      </c>
      <c r="L767" s="270" t="s">
        <v>2913</v>
      </c>
    </row>
    <row r="768" spans="1:12" ht="21.75" customHeight="1" x14ac:dyDescent="0.25">
      <c r="A768" s="270">
        <v>1</v>
      </c>
      <c r="B768" s="313" t="s">
        <v>2914</v>
      </c>
      <c r="G768" s="270" t="s">
        <v>2915</v>
      </c>
      <c r="K768" s="313">
        <v>0</v>
      </c>
      <c r="L768" s="270" t="s">
        <v>2913</v>
      </c>
    </row>
    <row r="769" spans="1:12" ht="21.75" customHeight="1" x14ac:dyDescent="0.25">
      <c r="A769" s="270">
        <v>1</v>
      </c>
      <c r="B769" s="313" t="s">
        <v>2916</v>
      </c>
      <c r="G769" s="270" t="s">
        <v>2917</v>
      </c>
      <c r="K769" s="313">
        <v>0</v>
      </c>
      <c r="L769" s="270" t="s">
        <v>1939</v>
      </c>
    </row>
    <row r="770" spans="1:12" ht="21.75" customHeight="1" x14ac:dyDescent="0.25">
      <c r="A770" s="270">
        <v>1</v>
      </c>
      <c r="B770" s="313" t="s">
        <v>2918</v>
      </c>
      <c r="G770" s="270" t="s">
        <v>2919</v>
      </c>
      <c r="K770" s="313">
        <v>0</v>
      </c>
      <c r="L770" s="270" t="s">
        <v>1939</v>
      </c>
    </row>
    <row r="771" spans="1:12" ht="21.75" customHeight="1" x14ac:dyDescent="0.25">
      <c r="A771" s="270">
        <v>1</v>
      </c>
      <c r="B771" s="313" t="s">
        <v>2920</v>
      </c>
      <c r="G771" s="270" t="s">
        <v>2921</v>
      </c>
      <c r="K771" s="313">
        <v>217080</v>
      </c>
      <c r="L771" s="270" t="s">
        <v>1939</v>
      </c>
    </row>
    <row r="772" spans="1:12" ht="21.75" customHeight="1" x14ac:dyDescent="0.25">
      <c r="A772" s="270">
        <v>1</v>
      </c>
      <c r="B772" s="313" t="s">
        <v>2922</v>
      </c>
      <c r="G772" s="270" t="s">
        <v>2923</v>
      </c>
      <c r="K772" s="313">
        <v>229800</v>
      </c>
      <c r="L772" s="270" t="s">
        <v>1939</v>
      </c>
    </row>
    <row r="773" spans="1:12" ht="21.75" customHeight="1" x14ac:dyDescent="0.25">
      <c r="A773" s="270">
        <v>1</v>
      </c>
      <c r="B773" s="313" t="s">
        <v>2924</v>
      </c>
      <c r="G773" s="270" t="s">
        <v>2925</v>
      </c>
      <c r="K773" s="313">
        <v>297360</v>
      </c>
      <c r="L773" s="270" t="s">
        <v>1939</v>
      </c>
    </row>
    <row r="774" spans="1:12" ht="21.75" customHeight="1" x14ac:dyDescent="0.25">
      <c r="A774" s="270">
        <v>1</v>
      </c>
      <c r="B774" s="313" t="s">
        <v>2926</v>
      </c>
      <c r="G774" s="270" t="s">
        <v>2927</v>
      </c>
      <c r="K774" s="313">
        <v>66840</v>
      </c>
      <c r="L774" s="270" t="s">
        <v>1939</v>
      </c>
    </row>
    <row r="775" spans="1:12" ht="21.75" customHeight="1" x14ac:dyDescent="0.25">
      <c r="A775" s="270">
        <v>1</v>
      </c>
      <c r="B775" s="313" t="s">
        <v>2928</v>
      </c>
      <c r="G775" s="270" t="s">
        <v>2929</v>
      </c>
      <c r="K775" s="313">
        <v>71040</v>
      </c>
      <c r="L775" s="270" t="s">
        <v>1939</v>
      </c>
    </row>
    <row r="776" spans="1:12" ht="21.75" customHeight="1" x14ac:dyDescent="0.25">
      <c r="A776" s="270">
        <v>1</v>
      </c>
      <c r="B776" s="313" t="s">
        <v>2930</v>
      </c>
      <c r="G776" s="270" t="s">
        <v>2931</v>
      </c>
      <c r="K776" s="313">
        <v>106800</v>
      </c>
      <c r="L776" s="270" t="s">
        <v>1939</v>
      </c>
    </row>
    <row r="777" spans="1:12" ht="21.75" customHeight="1" x14ac:dyDescent="0.25">
      <c r="A777" s="270">
        <v>1</v>
      </c>
      <c r="B777" s="313" t="s">
        <v>2932</v>
      </c>
      <c r="G777" s="270" t="s">
        <v>2933</v>
      </c>
      <c r="K777" s="313">
        <v>62880</v>
      </c>
      <c r="L777" s="270" t="s">
        <v>1939</v>
      </c>
    </row>
    <row r="778" spans="1:12" ht="21.75" customHeight="1" x14ac:dyDescent="0.25">
      <c r="A778" s="270">
        <v>1</v>
      </c>
      <c r="B778" s="313" t="s">
        <v>2934</v>
      </c>
      <c r="G778" s="270" t="s">
        <v>2935</v>
      </c>
      <c r="K778" s="313">
        <v>66600</v>
      </c>
      <c r="L778" s="270" t="s">
        <v>1939</v>
      </c>
    </row>
    <row r="779" spans="1:12" ht="21.75" customHeight="1" x14ac:dyDescent="0.25">
      <c r="A779" s="270">
        <v>1</v>
      </c>
      <c r="B779" s="313" t="s">
        <v>2936</v>
      </c>
      <c r="G779" s="270" t="s">
        <v>2937</v>
      </c>
      <c r="K779" s="313">
        <v>100320</v>
      </c>
      <c r="L779" s="270" t="s">
        <v>1939</v>
      </c>
    </row>
    <row r="780" spans="1:12" ht="21.75" customHeight="1" x14ac:dyDescent="0.25">
      <c r="A780" s="270">
        <v>1</v>
      </c>
      <c r="B780" s="313" t="s">
        <v>2938</v>
      </c>
      <c r="G780" s="270" t="s">
        <v>2939</v>
      </c>
      <c r="K780" s="313">
        <v>89160</v>
      </c>
      <c r="L780" s="270" t="s">
        <v>1939</v>
      </c>
    </row>
    <row r="781" spans="1:12" ht="21.75" customHeight="1" x14ac:dyDescent="0.25">
      <c r="A781" s="270">
        <v>1</v>
      </c>
      <c r="B781" s="313" t="s">
        <v>2940</v>
      </c>
      <c r="G781" s="270" t="s">
        <v>2941</v>
      </c>
      <c r="K781" s="313">
        <v>93840</v>
      </c>
      <c r="L781" s="270" t="s">
        <v>1939</v>
      </c>
    </row>
    <row r="782" spans="1:12" ht="21.75" customHeight="1" x14ac:dyDescent="0.25">
      <c r="A782" s="270">
        <v>1</v>
      </c>
      <c r="B782" s="313" t="s">
        <v>2942</v>
      </c>
      <c r="G782" s="270" t="s">
        <v>2943</v>
      </c>
      <c r="K782" s="313">
        <v>133200</v>
      </c>
      <c r="L782" s="270" t="s">
        <v>1939</v>
      </c>
    </row>
    <row r="783" spans="1:12" ht="21.75" customHeight="1" x14ac:dyDescent="0.25">
      <c r="A783" s="270">
        <v>1</v>
      </c>
      <c r="B783" s="313" t="s">
        <v>2944</v>
      </c>
      <c r="G783" s="270" t="s">
        <v>2945</v>
      </c>
      <c r="K783" s="313">
        <v>69360</v>
      </c>
      <c r="L783" s="270" t="s">
        <v>1939</v>
      </c>
    </row>
    <row r="784" spans="1:12" ht="21.75" customHeight="1" x14ac:dyDescent="0.25">
      <c r="A784" s="270">
        <v>1</v>
      </c>
      <c r="B784" s="313" t="s">
        <v>2946</v>
      </c>
      <c r="G784" s="270" t="s">
        <v>2947</v>
      </c>
      <c r="K784" s="313">
        <v>73560</v>
      </c>
      <c r="L784" s="270" t="s">
        <v>1939</v>
      </c>
    </row>
    <row r="785" spans="1:12" ht="21.75" customHeight="1" x14ac:dyDescent="0.25">
      <c r="A785" s="270">
        <v>1</v>
      </c>
      <c r="B785" s="313" t="s">
        <v>2948</v>
      </c>
      <c r="G785" s="270" t="s">
        <v>2949</v>
      </c>
      <c r="K785" s="313">
        <v>111000</v>
      </c>
      <c r="L785" s="270" t="s">
        <v>1939</v>
      </c>
    </row>
    <row r="786" spans="1:12" ht="21.75" customHeight="1" x14ac:dyDescent="0.25">
      <c r="A786" s="270">
        <v>1</v>
      </c>
      <c r="B786" s="313" t="s">
        <v>2950</v>
      </c>
      <c r="G786" s="270" t="s">
        <v>2951</v>
      </c>
      <c r="K786" s="313">
        <v>67560</v>
      </c>
      <c r="L786" s="270" t="s">
        <v>1939</v>
      </c>
    </row>
    <row r="787" spans="1:12" ht="21.75" customHeight="1" x14ac:dyDescent="0.25">
      <c r="A787" s="270">
        <v>1</v>
      </c>
      <c r="B787" s="313" t="s">
        <v>2952</v>
      </c>
      <c r="G787" s="270" t="s">
        <v>2953</v>
      </c>
      <c r="K787" s="313">
        <v>71640</v>
      </c>
      <c r="L787" s="270" t="s">
        <v>1939</v>
      </c>
    </row>
    <row r="788" spans="1:12" ht="21.75" customHeight="1" x14ac:dyDescent="0.25">
      <c r="A788" s="270">
        <v>1</v>
      </c>
      <c r="B788" s="313" t="s">
        <v>2954</v>
      </c>
      <c r="G788" s="270" t="s">
        <v>2955</v>
      </c>
      <c r="K788" s="313">
        <v>107880</v>
      </c>
      <c r="L788" s="270" t="s">
        <v>1939</v>
      </c>
    </row>
    <row r="789" spans="1:12" ht="21.75" customHeight="1" x14ac:dyDescent="0.25">
      <c r="A789" s="270">
        <v>1</v>
      </c>
      <c r="B789" s="313" t="s">
        <v>2956</v>
      </c>
      <c r="G789" s="270" t="s">
        <v>2957</v>
      </c>
      <c r="K789" s="313">
        <v>92040</v>
      </c>
      <c r="L789" s="270" t="s">
        <v>1939</v>
      </c>
    </row>
    <row r="790" spans="1:12" ht="21.75" customHeight="1" x14ac:dyDescent="0.25">
      <c r="A790" s="270">
        <v>1</v>
      </c>
      <c r="B790" s="313" t="s">
        <v>2958</v>
      </c>
      <c r="G790" s="270" t="s">
        <v>2959</v>
      </c>
      <c r="K790" s="313">
        <v>96600</v>
      </c>
      <c r="L790" s="270" t="s">
        <v>1939</v>
      </c>
    </row>
    <row r="791" spans="1:12" ht="21.75" customHeight="1" x14ac:dyDescent="0.25">
      <c r="A791" s="270">
        <v>1</v>
      </c>
      <c r="B791" s="313" t="s">
        <v>2960</v>
      </c>
      <c r="G791" s="270" t="s">
        <v>2961</v>
      </c>
      <c r="K791" s="313">
        <v>137760</v>
      </c>
      <c r="L791" s="270" t="s">
        <v>1939</v>
      </c>
    </row>
    <row r="792" spans="1:12" ht="21.75" customHeight="1" x14ac:dyDescent="0.25">
      <c r="A792" s="270">
        <v>1</v>
      </c>
      <c r="B792" s="313" t="s">
        <v>2962</v>
      </c>
      <c r="G792" s="270" t="s">
        <v>2963</v>
      </c>
      <c r="K792" s="313">
        <v>47640</v>
      </c>
      <c r="L792" s="270" t="s">
        <v>1939</v>
      </c>
    </row>
    <row r="793" spans="1:12" ht="21.75" customHeight="1" x14ac:dyDescent="0.25">
      <c r="A793" s="270">
        <v>1</v>
      </c>
      <c r="B793" s="313" t="s">
        <v>2964</v>
      </c>
      <c r="G793" s="270" t="s">
        <v>2965</v>
      </c>
      <c r="K793" s="313">
        <v>0</v>
      </c>
      <c r="L793" s="270" t="s">
        <v>1939</v>
      </c>
    </row>
    <row r="794" spans="1:12" ht="21.75" customHeight="1" x14ac:dyDescent="0.25">
      <c r="A794" s="270">
        <v>1</v>
      </c>
      <c r="B794" s="313" t="s">
        <v>2966</v>
      </c>
      <c r="G794" s="270" t="s">
        <v>2967</v>
      </c>
      <c r="K794" s="313">
        <v>0</v>
      </c>
      <c r="L794" s="270" t="s">
        <v>1939</v>
      </c>
    </row>
    <row r="795" spans="1:12" ht="21.75" customHeight="1" x14ac:dyDescent="0.25">
      <c r="A795" s="270">
        <v>1</v>
      </c>
      <c r="B795" s="313" t="s">
        <v>2968</v>
      </c>
      <c r="G795" s="270" t="s">
        <v>2969</v>
      </c>
      <c r="K795" s="313">
        <v>21480</v>
      </c>
      <c r="L795" s="270" t="s">
        <v>1939</v>
      </c>
    </row>
    <row r="796" spans="1:12" ht="21.75" customHeight="1" x14ac:dyDescent="0.25">
      <c r="A796" s="270">
        <v>1</v>
      </c>
      <c r="B796" s="313" t="s">
        <v>2970</v>
      </c>
      <c r="G796" s="270" t="s">
        <v>2971</v>
      </c>
      <c r="K796" s="313">
        <v>23880</v>
      </c>
      <c r="L796" s="270" t="s">
        <v>1939</v>
      </c>
    </row>
    <row r="797" spans="1:12" ht="21.75" customHeight="1" x14ac:dyDescent="0.25">
      <c r="A797" s="270">
        <v>1</v>
      </c>
      <c r="B797" s="313" t="s">
        <v>2972</v>
      </c>
      <c r="G797" s="270" t="s">
        <v>2973</v>
      </c>
      <c r="K797" s="313">
        <v>24960</v>
      </c>
      <c r="L797" s="270" t="s">
        <v>1939</v>
      </c>
    </row>
    <row r="798" spans="1:12" ht="21.75" customHeight="1" x14ac:dyDescent="0.25">
      <c r="A798" s="270">
        <v>1</v>
      </c>
      <c r="B798" s="313" t="s">
        <v>2974</v>
      </c>
      <c r="G798" s="270" t="s">
        <v>2975</v>
      </c>
      <c r="K798" s="313">
        <v>26640</v>
      </c>
      <c r="L798" s="270" t="s">
        <v>1939</v>
      </c>
    </row>
    <row r="799" spans="1:12" ht="21.75" customHeight="1" x14ac:dyDescent="0.25">
      <c r="A799" s="270">
        <v>1</v>
      </c>
      <c r="B799" s="313" t="s">
        <v>2976</v>
      </c>
      <c r="G799" s="270" t="s">
        <v>2977</v>
      </c>
      <c r="K799" s="313">
        <v>30360</v>
      </c>
      <c r="L799" s="270" t="s">
        <v>1939</v>
      </c>
    </row>
    <row r="800" spans="1:12" ht="21.75" customHeight="1" x14ac:dyDescent="0.25">
      <c r="A800" s="270">
        <v>1</v>
      </c>
      <c r="B800" s="313" t="s">
        <v>2978</v>
      </c>
      <c r="G800" s="270" t="s">
        <v>2979</v>
      </c>
      <c r="K800" s="313">
        <v>40680</v>
      </c>
      <c r="L800" s="270" t="s">
        <v>1939</v>
      </c>
    </row>
    <row r="801" spans="1:12" ht="21.75" customHeight="1" x14ac:dyDescent="0.25">
      <c r="A801" s="270">
        <v>1</v>
      </c>
      <c r="B801" s="313" t="s">
        <v>2980</v>
      </c>
      <c r="G801" s="270" t="s">
        <v>2981</v>
      </c>
      <c r="K801" s="313">
        <v>43200</v>
      </c>
      <c r="L801" s="270" t="s">
        <v>1939</v>
      </c>
    </row>
    <row r="802" spans="1:12" ht="21.75" customHeight="1" x14ac:dyDescent="0.25">
      <c r="A802" s="270">
        <v>1</v>
      </c>
      <c r="B802" s="313" t="s">
        <v>2982</v>
      </c>
      <c r="G802" s="270" t="s">
        <v>2983</v>
      </c>
      <c r="K802" s="313">
        <v>0</v>
      </c>
      <c r="L802" s="270" t="s">
        <v>1939</v>
      </c>
    </row>
    <row r="803" spans="1:12" ht="21.75" customHeight="1" x14ac:dyDescent="0.25">
      <c r="A803" s="270">
        <v>1</v>
      </c>
      <c r="B803" s="313" t="s">
        <v>2984</v>
      </c>
      <c r="G803" s="270" t="s">
        <v>2985</v>
      </c>
      <c r="K803" s="313">
        <v>0</v>
      </c>
      <c r="L803" s="270" t="s">
        <v>1939</v>
      </c>
    </row>
    <row r="804" spans="1:12" ht="21.75" customHeight="1" x14ac:dyDescent="0.25">
      <c r="A804" s="270">
        <v>1</v>
      </c>
      <c r="B804" s="313" t="s">
        <v>2986</v>
      </c>
      <c r="G804" s="270" t="s">
        <v>2987</v>
      </c>
      <c r="K804" s="313">
        <v>0</v>
      </c>
      <c r="L804" s="270" t="s">
        <v>1939</v>
      </c>
    </row>
    <row r="805" spans="1:12" ht="21.75" customHeight="1" x14ac:dyDescent="0.25">
      <c r="A805" s="270">
        <v>1</v>
      </c>
      <c r="B805" s="313" t="s">
        <v>2988</v>
      </c>
      <c r="G805" s="270" t="s">
        <v>2989</v>
      </c>
      <c r="K805" s="313">
        <v>0</v>
      </c>
      <c r="L805" s="270" t="s">
        <v>1939</v>
      </c>
    </row>
    <row r="806" spans="1:12" ht="21.75" customHeight="1" x14ac:dyDescent="0.25">
      <c r="A806" s="270">
        <v>1</v>
      </c>
      <c r="B806" s="313" t="s">
        <v>2990</v>
      </c>
      <c r="G806" s="270" t="s">
        <v>2991</v>
      </c>
      <c r="K806" s="313">
        <v>31560</v>
      </c>
      <c r="L806" s="270" t="s">
        <v>1939</v>
      </c>
    </row>
    <row r="807" spans="1:12" ht="21.75" customHeight="1" x14ac:dyDescent="0.25">
      <c r="A807" s="270">
        <v>1</v>
      </c>
      <c r="B807" s="313" t="s">
        <v>2992</v>
      </c>
      <c r="G807" s="270" t="s">
        <v>2993</v>
      </c>
      <c r="K807" s="313">
        <v>29640</v>
      </c>
      <c r="L807" s="270" t="s">
        <v>1939</v>
      </c>
    </row>
    <row r="808" spans="1:12" ht="21.75" customHeight="1" x14ac:dyDescent="0.25">
      <c r="A808" s="270">
        <v>1</v>
      </c>
      <c r="B808" s="313" t="s">
        <v>2994</v>
      </c>
      <c r="G808" s="270" t="s">
        <v>2995</v>
      </c>
      <c r="K808" s="313">
        <v>34320</v>
      </c>
      <c r="L808" s="270" t="s">
        <v>1939</v>
      </c>
    </row>
    <row r="809" spans="1:12" ht="21.75" customHeight="1" x14ac:dyDescent="0.25">
      <c r="A809" s="270">
        <v>1</v>
      </c>
      <c r="B809" s="313" t="s">
        <v>2996</v>
      </c>
      <c r="G809" s="270" t="s">
        <v>2997</v>
      </c>
      <c r="K809" s="313">
        <v>31200</v>
      </c>
      <c r="L809" s="270" t="s">
        <v>1939</v>
      </c>
    </row>
    <row r="810" spans="1:12" ht="21.75" customHeight="1" x14ac:dyDescent="0.25">
      <c r="A810" s="270">
        <v>1</v>
      </c>
      <c r="B810" s="313" t="s">
        <v>2998</v>
      </c>
      <c r="G810" s="270" t="s">
        <v>2999</v>
      </c>
      <c r="K810" s="313">
        <v>35280</v>
      </c>
      <c r="L810" s="270" t="s">
        <v>1939</v>
      </c>
    </row>
    <row r="811" spans="1:12" ht="21.75" customHeight="1" x14ac:dyDescent="0.25">
      <c r="A811" s="270">
        <v>1</v>
      </c>
      <c r="B811" s="313" t="s">
        <v>3000</v>
      </c>
      <c r="G811" s="270" t="s">
        <v>3001</v>
      </c>
      <c r="K811" s="313">
        <v>37800</v>
      </c>
      <c r="L811" s="270" t="s">
        <v>1939</v>
      </c>
    </row>
    <row r="812" spans="1:12" ht="21.75" customHeight="1" x14ac:dyDescent="0.25">
      <c r="A812" s="270">
        <v>1</v>
      </c>
      <c r="B812" s="313" t="s">
        <v>3002</v>
      </c>
      <c r="G812" s="270" t="s">
        <v>3003</v>
      </c>
      <c r="K812" s="313">
        <v>34680</v>
      </c>
      <c r="L812" s="270" t="s">
        <v>1939</v>
      </c>
    </row>
    <row r="813" spans="1:12" ht="21.75" customHeight="1" x14ac:dyDescent="0.25">
      <c r="A813" s="270">
        <v>1</v>
      </c>
      <c r="B813" s="313" t="s">
        <v>3004</v>
      </c>
      <c r="G813" s="270" t="s">
        <v>3005</v>
      </c>
      <c r="K813" s="313">
        <v>39960</v>
      </c>
      <c r="L813" s="270" t="s">
        <v>1939</v>
      </c>
    </row>
    <row r="814" spans="1:12" ht="21.75" customHeight="1" x14ac:dyDescent="0.25">
      <c r="A814" s="270">
        <v>1</v>
      </c>
      <c r="B814" s="313" t="s">
        <v>3006</v>
      </c>
      <c r="G814" s="270" t="s">
        <v>3007</v>
      </c>
      <c r="K814" s="313">
        <v>45480</v>
      </c>
      <c r="L814" s="270" t="s">
        <v>1939</v>
      </c>
    </row>
    <row r="815" spans="1:12" ht="21.75" customHeight="1" x14ac:dyDescent="0.25">
      <c r="A815" s="270">
        <v>1</v>
      </c>
      <c r="B815" s="313" t="s">
        <v>3008</v>
      </c>
      <c r="G815" s="270" t="s">
        <v>3009</v>
      </c>
      <c r="K815" s="313">
        <v>50640</v>
      </c>
      <c r="L815" s="270" t="s">
        <v>1939</v>
      </c>
    </row>
    <row r="816" spans="1:12" ht="21.75" customHeight="1" x14ac:dyDescent="0.25">
      <c r="A816" s="270">
        <v>1</v>
      </c>
      <c r="B816" s="313" t="s">
        <v>3010</v>
      </c>
      <c r="G816" s="270" t="s">
        <v>3011</v>
      </c>
      <c r="K816" s="313">
        <v>64200</v>
      </c>
      <c r="L816" s="270" t="s">
        <v>1939</v>
      </c>
    </row>
    <row r="817" spans="1:12" ht="21.75" customHeight="1" x14ac:dyDescent="0.25">
      <c r="A817" s="270">
        <v>1</v>
      </c>
      <c r="B817" s="313" t="s">
        <v>3012</v>
      </c>
      <c r="G817" s="270" t="s">
        <v>3013</v>
      </c>
      <c r="K817" s="313">
        <v>100200</v>
      </c>
      <c r="L817" s="270" t="s">
        <v>1939</v>
      </c>
    </row>
    <row r="818" spans="1:12" ht="21.75" customHeight="1" x14ac:dyDescent="0.25">
      <c r="A818" s="270">
        <v>1</v>
      </c>
      <c r="B818" s="313" t="s">
        <v>3014</v>
      </c>
      <c r="G818" s="270" t="s">
        <v>3015</v>
      </c>
      <c r="K818" s="313">
        <v>1860</v>
      </c>
      <c r="L818" s="270" t="s">
        <v>1939</v>
      </c>
    </row>
    <row r="819" spans="1:12" ht="21.75" customHeight="1" x14ac:dyDescent="0.25">
      <c r="A819" s="270">
        <v>1</v>
      </c>
      <c r="B819" s="313" t="s">
        <v>3016</v>
      </c>
      <c r="G819" s="270" t="s">
        <v>3017</v>
      </c>
      <c r="K819" s="313">
        <v>2400</v>
      </c>
      <c r="L819" s="270" t="s">
        <v>1939</v>
      </c>
    </row>
    <row r="820" spans="1:12" ht="21.75" customHeight="1" x14ac:dyDescent="0.25">
      <c r="A820" s="270">
        <v>1</v>
      </c>
      <c r="B820" s="313" t="s">
        <v>3018</v>
      </c>
      <c r="G820" s="270" t="s">
        <v>3019</v>
      </c>
      <c r="K820" s="313">
        <v>0</v>
      </c>
      <c r="L820" s="270" t="s">
        <v>1939</v>
      </c>
    </row>
    <row r="821" spans="1:12" ht="21.75" customHeight="1" x14ac:dyDescent="0.25">
      <c r="A821" s="270">
        <v>1</v>
      </c>
      <c r="B821" s="313" t="s">
        <v>3020</v>
      </c>
      <c r="G821" s="270" t="s">
        <v>3021</v>
      </c>
      <c r="K821" s="313">
        <v>0</v>
      </c>
      <c r="L821" s="270" t="s">
        <v>1939</v>
      </c>
    </row>
    <row r="822" spans="1:12" ht="21.75" customHeight="1" x14ac:dyDescent="0.25">
      <c r="A822" s="270">
        <v>1</v>
      </c>
      <c r="B822" s="313" t="s">
        <v>3022</v>
      </c>
      <c r="G822" s="270" t="s">
        <v>3023</v>
      </c>
      <c r="K822" s="313">
        <v>0</v>
      </c>
      <c r="L822" s="270" t="s">
        <v>1939</v>
      </c>
    </row>
    <row r="823" spans="1:12" ht="21.75" customHeight="1" x14ac:dyDescent="0.25">
      <c r="A823" s="270">
        <v>1</v>
      </c>
      <c r="B823" s="313" t="s">
        <v>3024</v>
      </c>
      <c r="G823" s="270" t="s">
        <v>3025</v>
      </c>
      <c r="K823" s="313">
        <v>0</v>
      </c>
      <c r="L823" s="270" t="s">
        <v>1939</v>
      </c>
    </row>
    <row r="824" spans="1:12" ht="21.75" customHeight="1" x14ac:dyDescent="0.25">
      <c r="A824" s="270">
        <v>1</v>
      </c>
      <c r="B824" s="313" t="s">
        <v>3026</v>
      </c>
      <c r="G824" s="270" t="s">
        <v>3027</v>
      </c>
      <c r="K824" s="313">
        <v>0</v>
      </c>
      <c r="L824" s="270" t="s">
        <v>1939</v>
      </c>
    </row>
    <row r="825" spans="1:12" ht="21.75" customHeight="1" x14ac:dyDescent="0.25">
      <c r="A825" s="270">
        <v>1</v>
      </c>
      <c r="B825" s="313" t="s">
        <v>3028</v>
      </c>
      <c r="G825" s="270" t="s">
        <v>3029</v>
      </c>
      <c r="K825" s="313">
        <v>0</v>
      </c>
      <c r="L825" s="270" t="s">
        <v>1939</v>
      </c>
    </row>
    <row r="826" spans="1:12" ht="21.75" customHeight="1" x14ac:dyDescent="0.25">
      <c r="A826" s="270">
        <v>1</v>
      </c>
      <c r="B826" s="313" t="s">
        <v>3030</v>
      </c>
      <c r="G826" s="270" t="s">
        <v>3031</v>
      </c>
      <c r="K826" s="313">
        <v>0</v>
      </c>
      <c r="L826" s="270" t="s">
        <v>1939</v>
      </c>
    </row>
    <row r="827" spans="1:12" ht="21.75" customHeight="1" x14ac:dyDescent="0.25">
      <c r="A827" s="270">
        <v>1</v>
      </c>
      <c r="B827" s="313" t="s">
        <v>3032</v>
      </c>
      <c r="G827" s="270" t="s">
        <v>3033</v>
      </c>
      <c r="K827" s="313">
        <v>0</v>
      </c>
      <c r="L827" s="270" t="s">
        <v>1939</v>
      </c>
    </row>
    <row r="828" spans="1:12" ht="21.75" customHeight="1" x14ac:dyDescent="0.25">
      <c r="A828" s="270">
        <v>1</v>
      </c>
      <c r="B828" s="313" t="s">
        <v>3034</v>
      </c>
      <c r="G828" s="270" t="s">
        <v>3035</v>
      </c>
      <c r="K828" s="313">
        <v>0</v>
      </c>
      <c r="L828" s="270" t="s">
        <v>1939</v>
      </c>
    </row>
    <row r="829" spans="1:12" ht="21.75" customHeight="1" x14ac:dyDescent="0.25">
      <c r="A829" s="270">
        <v>1</v>
      </c>
      <c r="B829" s="313" t="s">
        <v>3036</v>
      </c>
      <c r="G829" s="270" t="s">
        <v>3037</v>
      </c>
      <c r="K829" s="313">
        <v>0</v>
      </c>
      <c r="L829" s="270" t="s">
        <v>1939</v>
      </c>
    </row>
    <row r="830" spans="1:12" ht="21.75" customHeight="1" x14ac:dyDescent="0.25">
      <c r="A830" s="270">
        <v>1</v>
      </c>
      <c r="B830" s="313" t="s">
        <v>3038</v>
      </c>
      <c r="G830" s="270" t="s">
        <v>3039</v>
      </c>
      <c r="K830" s="313">
        <v>0</v>
      </c>
      <c r="L830" s="270" t="s">
        <v>1939</v>
      </c>
    </row>
    <row r="831" spans="1:12" ht="21.75" customHeight="1" x14ac:dyDescent="0.25">
      <c r="A831" s="270">
        <v>1</v>
      </c>
      <c r="B831" s="313" t="s">
        <v>3040</v>
      </c>
      <c r="G831" s="270" t="s">
        <v>3041</v>
      </c>
      <c r="K831" s="313">
        <v>0</v>
      </c>
      <c r="L831" s="270" t="s">
        <v>1939</v>
      </c>
    </row>
    <row r="832" spans="1:12" ht="21.75" customHeight="1" x14ac:dyDescent="0.25">
      <c r="A832" s="270">
        <v>1</v>
      </c>
      <c r="B832" s="313" t="s">
        <v>3042</v>
      </c>
      <c r="G832" s="270" t="s">
        <v>3043</v>
      </c>
      <c r="K832" s="313">
        <v>0</v>
      </c>
      <c r="L832" s="270" t="s">
        <v>1939</v>
      </c>
    </row>
    <row r="833" spans="1:12" ht="21.75" customHeight="1" x14ac:dyDescent="0.25">
      <c r="A833" s="270">
        <v>1</v>
      </c>
      <c r="B833" s="313" t="s">
        <v>3044</v>
      </c>
      <c r="G833" s="270" t="s">
        <v>3045</v>
      </c>
      <c r="K833" s="313">
        <v>0</v>
      </c>
      <c r="L833" s="270" t="s">
        <v>1939</v>
      </c>
    </row>
    <row r="834" spans="1:12" ht="21.75" customHeight="1" x14ac:dyDescent="0.25">
      <c r="A834" s="270">
        <v>1</v>
      </c>
      <c r="B834" s="313" t="s">
        <v>3046</v>
      </c>
      <c r="G834" s="270" t="s">
        <v>3047</v>
      </c>
      <c r="K834" s="313">
        <v>0</v>
      </c>
      <c r="L834" s="270" t="s">
        <v>1939</v>
      </c>
    </row>
    <row r="835" spans="1:12" ht="21.75" customHeight="1" x14ac:dyDescent="0.25">
      <c r="A835" s="270">
        <v>1</v>
      </c>
      <c r="B835" s="313" t="s">
        <v>3048</v>
      </c>
      <c r="G835" s="270" t="s">
        <v>3049</v>
      </c>
      <c r="K835" s="313">
        <v>27960</v>
      </c>
      <c r="L835" s="270" t="s">
        <v>1939</v>
      </c>
    </row>
    <row r="836" spans="1:12" ht="21.75" customHeight="1" x14ac:dyDescent="0.25">
      <c r="A836" s="270">
        <v>1</v>
      </c>
      <c r="B836" s="313" t="s">
        <v>3050</v>
      </c>
      <c r="G836" s="270" t="s">
        <v>3051</v>
      </c>
      <c r="K836" s="313">
        <v>33720</v>
      </c>
      <c r="L836" s="270" t="s">
        <v>1939</v>
      </c>
    </row>
    <row r="837" spans="1:12" ht="21.75" customHeight="1" x14ac:dyDescent="0.25">
      <c r="A837" s="270">
        <v>1</v>
      </c>
      <c r="B837" s="313" t="s">
        <v>3052</v>
      </c>
      <c r="G837" s="270" t="s">
        <v>3053</v>
      </c>
      <c r="K837" s="313">
        <v>39360</v>
      </c>
      <c r="L837" s="270" t="s">
        <v>1939</v>
      </c>
    </row>
    <row r="838" spans="1:12" ht="21.75" customHeight="1" x14ac:dyDescent="0.25">
      <c r="A838" s="270">
        <v>1</v>
      </c>
      <c r="B838" s="313" t="s">
        <v>3054</v>
      </c>
      <c r="G838" s="270" t="s">
        <v>3055</v>
      </c>
      <c r="K838" s="313">
        <v>30480</v>
      </c>
      <c r="L838" s="270" t="s">
        <v>1939</v>
      </c>
    </row>
    <row r="839" spans="1:12" ht="21.75" customHeight="1" x14ac:dyDescent="0.25">
      <c r="A839" s="270">
        <v>1</v>
      </c>
      <c r="B839" s="313" t="s">
        <v>3056</v>
      </c>
      <c r="G839" s="270" t="s">
        <v>3057</v>
      </c>
      <c r="K839" s="313">
        <v>27360</v>
      </c>
      <c r="L839" s="270" t="s">
        <v>1939</v>
      </c>
    </row>
    <row r="840" spans="1:12" ht="21.75" customHeight="1" x14ac:dyDescent="0.25">
      <c r="A840" s="270">
        <v>1</v>
      </c>
      <c r="B840" s="313" t="s">
        <v>3058</v>
      </c>
      <c r="G840" s="270" t="s">
        <v>3059</v>
      </c>
      <c r="K840" s="313">
        <v>33240</v>
      </c>
      <c r="L840" s="270" t="s">
        <v>1939</v>
      </c>
    </row>
    <row r="841" spans="1:12" ht="21.75" customHeight="1" x14ac:dyDescent="0.25">
      <c r="A841" s="270">
        <v>1</v>
      </c>
      <c r="B841" s="313" t="s">
        <v>3060</v>
      </c>
      <c r="G841" s="270" t="s">
        <v>3061</v>
      </c>
      <c r="K841" s="313">
        <v>38880</v>
      </c>
      <c r="L841" s="270" t="s">
        <v>1939</v>
      </c>
    </row>
    <row r="842" spans="1:12" ht="21.75" customHeight="1" x14ac:dyDescent="0.25">
      <c r="A842" s="270">
        <v>1</v>
      </c>
      <c r="B842" s="313" t="s">
        <v>3062</v>
      </c>
      <c r="G842" s="270" t="s">
        <v>3063</v>
      </c>
      <c r="K842" s="313">
        <v>46800</v>
      </c>
      <c r="L842" s="270" t="s">
        <v>1939</v>
      </c>
    </row>
    <row r="843" spans="1:12" ht="21.75" customHeight="1" x14ac:dyDescent="0.25">
      <c r="A843" s="270">
        <v>1</v>
      </c>
      <c r="B843" s="313" t="s">
        <v>3064</v>
      </c>
      <c r="G843" s="270" t="s">
        <v>3065</v>
      </c>
      <c r="K843" s="313">
        <v>6840</v>
      </c>
      <c r="L843" s="270" t="s">
        <v>1939</v>
      </c>
    </row>
    <row r="844" spans="1:12" ht="21.75" customHeight="1" x14ac:dyDescent="0.25">
      <c r="A844" s="270">
        <v>1</v>
      </c>
      <c r="B844" s="313" t="s">
        <v>3066</v>
      </c>
      <c r="G844" s="270" t="s">
        <v>3067</v>
      </c>
      <c r="K844" s="313">
        <v>5760</v>
      </c>
      <c r="L844" s="270" t="s">
        <v>1939</v>
      </c>
    </row>
    <row r="845" spans="1:12" ht="21.75" customHeight="1" x14ac:dyDescent="0.25">
      <c r="A845" s="270">
        <v>1</v>
      </c>
      <c r="B845" s="313" t="s">
        <v>3068</v>
      </c>
      <c r="G845" s="270" t="s">
        <v>3069</v>
      </c>
      <c r="K845" s="313">
        <v>21600</v>
      </c>
      <c r="L845" s="270" t="s">
        <v>1939</v>
      </c>
    </row>
    <row r="846" spans="1:12" ht="21.75" customHeight="1" x14ac:dyDescent="0.25">
      <c r="A846" s="270">
        <v>1</v>
      </c>
      <c r="B846" s="313" t="s">
        <v>3070</v>
      </c>
      <c r="G846" s="270" t="s">
        <v>3071</v>
      </c>
      <c r="K846" s="313">
        <v>22680</v>
      </c>
      <c r="L846" s="270" t="s">
        <v>1939</v>
      </c>
    </row>
    <row r="847" spans="1:12" ht="21.75" customHeight="1" x14ac:dyDescent="0.25">
      <c r="A847" s="270">
        <v>1</v>
      </c>
      <c r="B847" s="313" t="s">
        <v>3072</v>
      </c>
      <c r="G847" s="270" t="s">
        <v>3073</v>
      </c>
      <c r="K847" s="313">
        <v>27120</v>
      </c>
      <c r="L847" s="270" t="s">
        <v>1939</v>
      </c>
    </row>
    <row r="848" spans="1:12" ht="21.75" customHeight="1" x14ac:dyDescent="0.25">
      <c r="A848" s="270">
        <v>1</v>
      </c>
      <c r="B848" s="313" t="s">
        <v>3074</v>
      </c>
      <c r="G848" s="270" t="s">
        <v>3075</v>
      </c>
      <c r="K848" s="313">
        <v>29700</v>
      </c>
      <c r="L848" s="270" t="s">
        <v>1939</v>
      </c>
    </row>
    <row r="849" spans="1:12" ht="21.75" customHeight="1" x14ac:dyDescent="0.25">
      <c r="A849" s="270">
        <v>1</v>
      </c>
      <c r="B849" s="313" t="s">
        <v>3076</v>
      </c>
      <c r="G849" s="270" t="s">
        <v>3077</v>
      </c>
      <c r="K849" s="313">
        <v>31680</v>
      </c>
      <c r="L849" s="270" t="s">
        <v>1939</v>
      </c>
    </row>
    <row r="850" spans="1:12" ht="21.75" customHeight="1" x14ac:dyDescent="0.25">
      <c r="A850" s="270">
        <v>1</v>
      </c>
      <c r="B850" s="313" t="s">
        <v>3078</v>
      </c>
      <c r="G850" s="270" t="s">
        <v>3079</v>
      </c>
      <c r="K850" s="313">
        <v>42900</v>
      </c>
      <c r="L850" s="270" t="s">
        <v>1939</v>
      </c>
    </row>
    <row r="851" spans="1:12" ht="21.75" customHeight="1" x14ac:dyDescent="0.25">
      <c r="A851" s="270">
        <v>1</v>
      </c>
      <c r="B851" s="313" t="s">
        <v>3080</v>
      </c>
      <c r="G851" s="270" t="s">
        <v>3081</v>
      </c>
      <c r="K851" s="313">
        <v>81840</v>
      </c>
      <c r="L851" s="270" t="s">
        <v>1939</v>
      </c>
    </row>
    <row r="852" spans="1:12" ht="21.75" customHeight="1" x14ac:dyDescent="0.25">
      <c r="A852" s="270">
        <v>1</v>
      </c>
      <c r="B852" s="313" t="s">
        <v>3082</v>
      </c>
      <c r="G852" s="270" t="s">
        <v>3083</v>
      </c>
      <c r="K852" s="313">
        <v>118800</v>
      </c>
      <c r="L852" s="270" t="s">
        <v>1939</v>
      </c>
    </row>
    <row r="853" spans="1:12" ht="21.75" customHeight="1" x14ac:dyDescent="0.25">
      <c r="A853" s="270">
        <v>1</v>
      </c>
      <c r="B853" s="313" t="s">
        <v>3084</v>
      </c>
      <c r="G853" s="270" t="s">
        <v>3085</v>
      </c>
      <c r="K853" s="313">
        <v>25320</v>
      </c>
      <c r="L853" s="270" t="s">
        <v>1939</v>
      </c>
    </row>
    <row r="854" spans="1:12" ht="21.75" customHeight="1" x14ac:dyDescent="0.25">
      <c r="A854" s="270">
        <v>1</v>
      </c>
      <c r="B854" s="313" t="s">
        <v>3086</v>
      </c>
      <c r="G854" s="270" t="s">
        <v>3087</v>
      </c>
      <c r="K854" s="313">
        <v>46200</v>
      </c>
      <c r="L854" s="270" t="s">
        <v>1939</v>
      </c>
    </row>
    <row r="855" spans="1:12" ht="21.75" customHeight="1" x14ac:dyDescent="0.25">
      <c r="A855" s="270">
        <v>1</v>
      </c>
      <c r="B855" s="313" t="s">
        <v>3088</v>
      </c>
      <c r="G855" s="270" t="s">
        <v>3089</v>
      </c>
      <c r="K855" s="313">
        <v>112200</v>
      </c>
      <c r="L855" s="270" t="s">
        <v>1939</v>
      </c>
    </row>
    <row r="856" spans="1:12" ht="21.75" customHeight="1" x14ac:dyDescent="0.25">
      <c r="A856" s="270">
        <v>1</v>
      </c>
      <c r="B856" s="313" t="s">
        <v>3090</v>
      </c>
      <c r="G856" s="270" t="s">
        <v>3091</v>
      </c>
      <c r="K856" s="313">
        <v>51960</v>
      </c>
      <c r="L856" s="270" t="s">
        <v>1939</v>
      </c>
    </row>
    <row r="857" spans="1:12" ht="21.75" customHeight="1" x14ac:dyDescent="0.25">
      <c r="A857" s="270">
        <v>1</v>
      </c>
      <c r="B857" s="313" t="s">
        <v>3092</v>
      </c>
      <c r="G857" s="270" t="s">
        <v>3093</v>
      </c>
      <c r="K857" s="313">
        <v>51120</v>
      </c>
      <c r="L857" s="270" t="s">
        <v>1939</v>
      </c>
    </row>
    <row r="858" spans="1:12" ht="21.75" customHeight="1" x14ac:dyDescent="0.25">
      <c r="A858" s="270">
        <v>1</v>
      </c>
      <c r="B858" s="313" t="s">
        <v>3094</v>
      </c>
      <c r="G858" s="270" t="s">
        <v>3095</v>
      </c>
      <c r="K858" s="313">
        <v>27120</v>
      </c>
      <c r="L858" s="270" t="s">
        <v>1939</v>
      </c>
    </row>
    <row r="859" spans="1:12" ht="21.75" customHeight="1" x14ac:dyDescent="0.25">
      <c r="A859" s="270">
        <v>1</v>
      </c>
      <c r="B859" s="313" t="s">
        <v>3096</v>
      </c>
      <c r="G859" s="270" t="s">
        <v>3097</v>
      </c>
      <c r="K859" s="313">
        <v>37440</v>
      </c>
      <c r="L859" s="270" t="s">
        <v>1939</v>
      </c>
    </row>
    <row r="860" spans="1:12" ht="21.75" customHeight="1" x14ac:dyDescent="0.25">
      <c r="A860" s="270">
        <v>1</v>
      </c>
      <c r="B860" s="313" t="s">
        <v>3098</v>
      </c>
      <c r="G860" s="270" t="s">
        <v>3099</v>
      </c>
      <c r="K860" s="313">
        <v>57960</v>
      </c>
      <c r="L860" s="270" t="s">
        <v>1939</v>
      </c>
    </row>
    <row r="861" spans="1:12" ht="21.75" customHeight="1" x14ac:dyDescent="0.25">
      <c r="A861" s="270">
        <v>1</v>
      </c>
      <c r="B861" s="313" t="s">
        <v>3100</v>
      </c>
      <c r="G861" s="270" t="s">
        <v>3101</v>
      </c>
      <c r="K861" s="313">
        <v>83520</v>
      </c>
      <c r="L861" s="270" t="s">
        <v>1939</v>
      </c>
    </row>
    <row r="862" spans="1:12" ht="21.75" customHeight="1" x14ac:dyDescent="0.25">
      <c r="A862" s="270">
        <v>1</v>
      </c>
      <c r="B862" s="313" t="s">
        <v>3102</v>
      </c>
      <c r="G862" s="270" t="s">
        <v>3103</v>
      </c>
      <c r="K862" s="313">
        <v>19200</v>
      </c>
      <c r="L862" s="270" t="s">
        <v>1939</v>
      </c>
    </row>
    <row r="863" spans="1:12" ht="21.75" customHeight="1" x14ac:dyDescent="0.25">
      <c r="A863" s="270">
        <v>1</v>
      </c>
      <c r="B863" s="313" t="s">
        <v>3104</v>
      </c>
      <c r="G863" s="270" t="s">
        <v>3105</v>
      </c>
      <c r="K863" s="313">
        <v>5160</v>
      </c>
      <c r="L863" s="270" t="s">
        <v>1939</v>
      </c>
    </row>
    <row r="864" spans="1:12" ht="21.75" customHeight="1" x14ac:dyDescent="0.25">
      <c r="A864" s="270">
        <v>1</v>
      </c>
      <c r="B864" s="313" t="s">
        <v>3106</v>
      </c>
      <c r="G864" s="270" t="s">
        <v>3107</v>
      </c>
      <c r="K864" s="313">
        <v>3960</v>
      </c>
      <c r="L864" s="270" t="s">
        <v>1939</v>
      </c>
    </row>
    <row r="865" spans="1:12" ht="21.75" customHeight="1" x14ac:dyDescent="0.25">
      <c r="A865" s="270">
        <v>1</v>
      </c>
      <c r="B865" s="313" t="s">
        <v>3108</v>
      </c>
      <c r="G865" s="270" t="s">
        <v>3109</v>
      </c>
      <c r="K865" s="313">
        <v>2760</v>
      </c>
      <c r="L865" s="270" t="s">
        <v>1939</v>
      </c>
    </row>
    <row r="866" spans="1:12" ht="21.75" customHeight="1" x14ac:dyDescent="0.25">
      <c r="A866" s="270">
        <v>1</v>
      </c>
      <c r="B866" s="313" t="s">
        <v>3110</v>
      </c>
      <c r="G866" s="270" t="s">
        <v>3111</v>
      </c>
      <c r="K866" s="313">
        <v>9480</v>
      </c>
      <c r="L866" s="270" t="s">
        <v>1939</v>
      </c>
    </row>
    <row r="867" spans="1:12" ht="21.75" customHeight="1" x14ac:dyDescent="0.25">
      <c r="A867" s="270">
        <v>1</v>
      </c>
      <c r="B867" s="313" t="s">
        <v>3112</v>
      </c>
      <c r="G867" s="270" t="s">
        <v>3113</v>
      </c>
      <c r="K867" s="313">
        <v>1440</v>
      </c>
      <c r="L867" s="270" t="s">
        <v>1939</v>
      </c>
    </row>
    <row r="868" spans="1:12" ht="21.75" customHeight="1" x14ac:dyDescent="0.25">
      <c r="A868" s="270">
        <v>1</v>
      </c>
      <c r="B868" s="313" t="s">
        <v>3114</v>
      </c>
      <c r="G868" s="270" t="s">
        <v>3297</v>
      </c>
      <c r="K868" s="313">
        <v>13934</v>
      </c>
      <c r="L868" s="270" t="s">
        <v>1939</v>
      </c>
    </row>
    <row r="869" spans="1:12" ht="21.75" customHeight="1" x14ac:dyDescent="0.25">
      <c r="A869" s="270">
        <v>1</v>
      </c>
      <c r="B869" s="313" t="s">
        <v>3115</v>
      </c>
      <c r="G869" s="270" t="s">
        <v>1256</v>
      </c>
      <c r="K869" s="313">
        <v>13366</v>
      </c>
      <c r="L869" s="270" t="s">
        <v>1939</v>
      </c>
    </row>
    <row r="870" spans="1:12" ht="21.75" customHeight="1" x14ac:dyDescent="0.25">
      <c r="A870" s="270">
        <v>1</v>
      </c>
      <c r="B870" s="313" t="s">
        <v>3116</v>
      </c>
      <c r="G870" s="270" t="s">
        <v>1235</v>
      </c>
      <c r="K870" s="313">
        <v>9095</v>
      </c>
      <c r="L870" s="270" t="s">
        <v>1939</v>
      </c>
    </row>
    <row r="871" spans="1:12" ht="21.75" customHeight="1" x14ac:dyDescent="0.25">
      <c r="A871" s="270">
        <v>1</v>
      </c>
      <c r="B871" s="313" t="s">
        <v>3117</v>
      </c>
      <c r="G871" s="270" t="s">
        <v>3298</v>
      </c>
      <c r="K871" s="313">
        <v>17859</v>
      </c>
      <c r="L871" s="270" t="s">
        <v>1939</v>
      </c>
    </row>
    <row r="872" spans="1:12" ht="21.75" customHeight="1" x14ac:dyDescent="0.25">
      <c r="A872" s="270">
        <v>1</v>
      </c>
      <c r="B872" s="313" t="s">
        <v>3118</v>
      </c>
      <c r="G872" s="270" t="s">
        <v>3119</v>
      </c>
      <c r="K872" s="313">
        <v>363840</v>
      </c>
      <c r="L872" s="270" t="s">
        <v>1939</v>
      </c>
    </row>
    <row r="873" spans="1:12" ht="21.75" customHeight="1" x14ac:dyDescent="0.25">
      <c r="A873" s="270">
        <v>1</v>
      </c>
      <c r="B873" s="313" t="s">
        <v>3120</v>
      </c>
      <c r="G873" s="270" t="s">
        <v>3121</v>
      </c>
      <c r="K873" s="313">
        <v>42840</v>
      </c>
      <c r="L873" s="270" t="s">
        <v>1939</v>
      </c>
    </row>
    <row r="874" spans="1:12" ht="21.75" customHeight="1" x14ac:dyDescent="0.25">
      <c r="A874" s="270">
        <v>1</v>
      </c>
      <c r="B874" s="313" t="s">
        <v>3122</v>
      </c>
      <c r="G874" s="270" t="s">
        <v>3123</v>
      </c>
      <c r="K874" s="313">
        <v>5640</v>
      </c>
      <c r="L874" s="270" t="s">
        <v>1939</v>
      </c>
    </row>
    <row r="875" spans="1:12" ht="21.75" customHeight="1" x14ac:dyDescent="0.25">
      <c r="A875" s="270">
        <v>1</v>
      </c>
      <c r="B875" s="313" t="s">
        <v>3124</v>
      </c>
      <c r="G875" s="270" t="s">
        <v>3125</v>
      </c>
      <c r="K875" s="313">
        <v>2640</v>
      </c>
      <c r="L875" s="270" t="s">
        <v>1939</v>
      </c>
    </row>
    <row r="876" spans="1:12" ht="21.75" customHeight="1" x14ac:dyDescent="0.25">
      <c r="A876" s="270">
        <v>1</v>
      </c>
      <c r="B876" s="313" t="s">
        <v>3126</v>
      </c>
      <c r="G876" s="270" t="s">
        <v>1304</v>
      </c>
      <c r="K876" s="313">
        <v>20000</v>
      </c>
      <c r="L876" s="270" t="s">
        <v>1939</v>
      </c>
    </row>
    <row r="877" spans="1:12" ht="21.75" customHeight="1" x14ac:dyDescent="0.25">
      <c r="A877" s="270">
        <v>1</v>
      </c>
      <c r="B877" s="313" t="s">
        <v>3127</v>
      </c>
      <c r="G877" s="270" t="s">
        <v>1307</v>
      </c>
      <c r="K877" s="313">
        <v>23926</v>
      </c>
      <c r="L877" s="270" t="s">
        <v>1939</v>
      </c>
    </row>
    <row r="878" spans="1:12" ht="21.75" customHeight="1" x14ac:dyDescent="0.25">
      <c r="A878" s="270">
        <v>1</v>
      </c>
      <c r="B878" s="313" t="s">
        <v>3128</v>
      </c>
      <c r="G878" s="270" t="s">
        <v>3129</v>
      </c>
      <c r="K878" s="313">
        <v>0</v>
      </c>
      <c r="L878" s="270" t="s">
        <v>1939</v>
      </c>
    </row>
    <row r="879" spans="1:12" ht="21.75" customHeight="1" x14ac:dyDescent="0.25">
      <c r="A879" s="270">
        <v>1</v>
      </c>
      <c r="B879" s="313" t="s">
        <v>3130</v>
      </c>
      <c r="G879" s="270" t="s">
        <v>3131</v>
      </c>
      <c r="K879" s="313">
        <v>23400</v>
      </c>
      <c r="L879" s="270" t="s">
        <v>1939</v>
      </c>
    </row>
    <row r="880" spans="1:12" ht="21.75" customHeight="1" x14ac:dyDescent="0.25">
      <c r="A880" s="270">
        <v>1</v>
      </c>
      <c r="B880" s="313" t="s">
        <v>3132</v>
      </c>
      <c r="G880" s="270" t="s">
        <v>3133</v>
      </c>
      <c r="K880" s="313">
        <v>37620</v>
      </c>
      <c r="L880" s="270" t="s">
        <v>1939</v>
      </c>
    </row>
    <row r="881" spans="1:12" ht="21.75" customHeight="1" x14ac:dyDescent="0.25">
      <c r="A881" s="270">
        <v>1</v>
      </c>
      <c r="B881" s="313" t="s">
        <v>3134</v>
      </c>
      <c r="G881" s="270" t="s">
        <v>3135</v>
      </c>
      <c r="K881" s="313">
        <v>261360</v>
      </c>
      <c r="L881" s="270" t="s">
        <v>1939</v>
      </c>
    </row>
    <row r="882" spans="1:12" ht="21.75" customHeight="1" x14ac:dyDescent="0.25">
      <c r="A882" s="270">
        <v>1</v>
      </c>
      <c r="B882" s="313" t="s">
        <v>3136</v>
      </c>
      <c r="G882" s="270" t="s">
        <v>3137</v>
      </c>
      <c r="K882" s="313">
        <v>6600</v>
      </c>
      <c r="L882" s="270" t="s">
        <v>1939</v>
      </c>
    </row>
    <row r="883" spans="1:12" ht="21.75" customHeight="1" x14ac:dyDescent="0.25">
      <c r="A883" s="270">
        <v>1</v>
      </c>
      <c r="B883" s="313" t="s">
        <v>3138</v>
      </c>
      <c r="G883" s="270" t="s">
        <v>3139</v>
      </c>
      <c r="K883" s="313">
        <v>10080</v>
      </c>
      <c r="L883" s="270" t="s">
        <v>1939</v>
      </c>
    </row>
    <row r="884" spans="1:12" ht="21.75" customHeight="1" x14ac:dyDescent="0.25">
      <c r="A884" s="270">
        <v>1</v>
      </c>
      <c r="B884" s="313" t="s">
        <v>3140</v>
      </c>
      <c r="G884" s="270" t="s">
        <v>3141</v>
      </c>
      <c r="K884" s="313">
        <v>3480</v>
      </c>
      <c r="L884" s="270" t="s">
        <v>1939</v>
      </c>
    </row>
    <row r="885" spans="1:12" ht="21.75" customHeight="1" x14ac:dyDescent="0.25">
      <c r="A885" s="270">
        <v>1</v>
      </c>
      <c r="B885" s="313" t="s">
        <v>3142</v>
      </c>
      <c r="G885" s="270" t="s">
        <v>3143</v>
      </c>
      <c r="K885" s="313">
        <v>6240</v>
      </c>
      <c r="L885" s="270" t="s">
        <v>1939</v>
      </c>
    </row>
    <row r="886" spans="1:12" ht="21.75" customHeight="1" x14ac:dyDescent="0.25">
      <c r="A886" s="270">
        <v>1</v>
      </c>
      <c r="B886" s="313" t="s">
        <v>3144</v>
      </c>
      <c r="G886" s="270" t="s">
        <v>3145</v>
      </c>
      <c r="K886" s="313">
        <v>8880</v>
      </c>
      <c r="L886" s="270" t="s">
        <v>1939</v>
      </c>
    </row>
    <row r="887" spans="1:12" ht="21.75" customHeight="1" x14ac:dyDescent="0.25">
      <c r="A887" s="270">
        <v>1</v>
      </c>
      <c r="B887" s="313" t="s">
        <v>3146</v>
      </c>
      <c r="G887" s="270" t="s">
        <v>3147</v>
      </c>
      <c r="K887" s="313">
        <v>44040</v>
      </c>
      <c r="L887" s="270" t="s">
        <v>1939</v>
      </c>
    </row>
    <row r="888" spans="1:12" ht="21.75" customHeight="1" x14ac:dyDescent="0.25">
      <c r="A888" s="270">
        <v>1</v>
      </c>
      <c r="B888" s="313" t="s">
        <v>3148</v>
      </c>
      <c r="G888" s="270" t="s">
        <v>3149</v>
      </c>
      <c r="K888" s="313">
        <v>46680</v>
      </c>
      <c r="L888" s="270" t="s">
        <v>1939</v>
      </c>
    </row>
    <row r="889" spans="1:12" ht="21.75" customHeight="1" x14ac:dyDescent="0.25">
      <c r="A889" s="270">
        <v>1</v>
      </c>
      <c r="B889" s="313" t="s">
        <v>3150</v>
      </c>
      <c r="G889" s="270" t="s">
        <v>3151</v>
      </c>
      <c r="K889" s="313">
        <v>69840</v>
      </c>
      <c r="L889" s="270" t="s">
        <v>1939</v>
      </c>
    </row>
    <row r="890" spans="1:12" ht="21.75" customHeight="1" x14ac:dyDescent="0.25">
      <c r="A890" s="270">
        <v>1</v>
      </c>
      <c r="B890" s="313" t="s">
        <v>3152</v>
      </c>
      <c r="G890" s="270" t="s">
        <v>3153</v>
      </c>
      <c r="K890" s="313">
        <v>44040</v>
      </c>
      <c r="L890" s="270" t="s">
        <v>1939</v>
      </c>
    </row>
    <row r="891" spans="1:12" ht="21.75" customHeight="1" x14ac:dyDescent="0.25">
      <c r="A891" s="270">
        <v>1</v>
      </c>
      <c r="B891" s="313" t="s">
        <v>3154</v>
      </c>
      <c r="G891" s="270" t="s">
        <v>3155</v>
      </c>
      <c r="K891" s="313">
        <v>46680</v>
      </c>
      <c r="L891" s="270" t="s">
        <v>1939</v>
      </c>
    </row>
    <row r="892" spans="1:12" ht="21.75" customHeight="1" x14ac:dyDescent="0.25">
      <c r="A892" s="270">
        <v>1</v>
      </c>
      <c r="B892" s="313" t="s">
        <v>3156</v>
      </c>
      <c r="G892" s="270" t="s">
        <v>3157</v>
      </c>
      <c r="K892" s="313">
        <v>69840</v>
      </c>
      <c r="L892" s="270" t="s">
        <v>1939</v>
      </c>
    </row>
    <row r="893" spans="1:12" ht="21.75" customHeight="1" x14ac:dyDescent="0.25">
      <c r="A893" s="270">
        <v>1</v>
      </c>
      <c r="B893" s="313" t="s">
        <v>3158</v>
      </c>
      <c r="G893" s="270" t="s">
        <v>3159</v>
      </c>
      <c r="K893" s="313">
        <v>0</v>
      </c>
      <c r="L893" s="270" t="s">
        <v>1939</v>
      </c>
    </row>
    <row r="894" spans="1:12" ht="21.75" customHeight="1" x14ac:dyDescent="0.25">
      <c r="A894" s="270">
        <v>1</v>
      </c>
      <c r="B894" s="313" t="s">
        <v>3160</v>
      </c>
      <c r="G894" s="270" t="s">
        <v>96</v>
      </c>
      <c r="K894" s="313">
        <v>3600</v>
      </c>
      <c r="L894" s="270" t="s">
        <v>1939</v>
      </c>
    </row>
    <row r="895" spans="1:12" ht="21.75" customHeight="1" x14ac:dyDescent="0.25">
      <c r="A895" s="270">
        <v>1</v>
      </c>
      <c r="B895" s="313" t="s">
        <v>3161</v>
      </c>
      <c r="G895" s="270" t="s">
        <v>3162</v>
      </c>
      <c r="K895" s="313">
        <v>29880</v>
      </c>
      <c r="L895" s="270" t="s">
        <v>1939</v>
      </c>
    </row>
    <row r="896" spans="1:12" ht="21.75" customHeight="1" x14ac:dyDescent="0.25">
      <c r="A896" s="270">
        <v>1</v>
      </c>
      <c r="B896" s="313" t="s">
        <v>3163</v>
      </c>
      <c r="G896" s="270" t="s">
        <v>3299</v>
      </c>
      <c r="K896" s="313">
        <v>19142</v>
      </c>
      <c r="L896" s="270" t="s">
        <v>1939</v>
      </c>
    </row>
    <row r="897" spans="1:12" ht="21.75" customHeight="1" x14ac:dyDescent="0.25">
      <c r="A897" s="270">
        <v>1</v>
      </c>
      <c r="B897" s="313" t="s">
        <v>3164</v>
      </c>
      <c r="G897" s="270" t="s">
        <v>3300</v>
      </c>
      <c r="K897" s="313">
        <v>21054</v>
      </c>
      <c r="L897" s="270" t="s">
        <v>1939</v>
      </c>
    </row>
    <row r="898" spans="1:12" ht="21.75" customHeight="1" x14ac:dyDescent="0.25">
      <c r="A898" s="270">
        <v>1</v>
      </c>
      <c r="B898" s="313" t="s">
        <v>3165</v>
      </c>
      <c r="G898" s="270" t="s">
        <v>3166</v>
      </c>
      <c r="K898" s="313">
        <v>4080</v>
      </c>
      <c r="L898" s="270" t="s">
        <v>1939</v>
      </c>
    </row>
    <row r="899" spans="1:12" ht="21.75" customHeight="1" x14ac:dyDescent="0.25">
      <c r="A899" s="270">
        <v>1</v>
      </c>
      <c r="B899" s="313" t="s">
        <v>3167</v>
      </c>
      <c r="G899" s="270" t="s">
        <v>3168</v>
      </c>
      <c r="K899" s="313">
        <v>0</v>
      </c>
      <c r="L899" s="270" t="s">
        <v>1939</v>
      </c>
    </row>
    <row r="900" spans="1:12" ht="21.75" customHeight="1" x14ac:dyDescent="0.25">
      <c r="A900" s="270">
        <v>1</v>
      </c>
      <c r="B900" s="313" t="s">
        <v>3169</v>
      </c>
      <c r="G900" s="270" t="s">
        <v>1333</v>
      </c>
      <c r="K900" s="313">
        <v>87570</v>
      </c>
      <c r="L900" s="270" t="s">
        <v>1939</v>
      </c>
    </row>
    <row r="901" spans="1:12" ht="21.75" customHeight="1" x14ac:dyDescent="0.25">
      <c r="A901" s="270">
        <v>1</v>
      </c>
      <c r="B901" s="313" t="s">
        <v>3170</v>
      </c>
      <c r="G901" s="270" t="s">
        <v>3171</v>
      </c>
      <c r="K901" s="313">
        <v>3960</v>
      </c>
      <c r="L901" s="270" t="s">
        <v>1939</v>
      </c>
    </row>
    <row r="902" spans="1:12" ht="21.75" customHeight="1" x14ac:dyDescent="0.25">
      <c r="A902" s="270">
        <v>1</v>
      </c>
      <c r="B902" s="313" t="s">
        <v>3172</v>
      </c>
      <c r="G902" s="270" t="s">
        <v>3173</v>
      </c>
      <c r="K902" s="313">
        <v>5760</v>
      </c>
      <c r="L902" s="270" t="s">
        <v>1939</v>
      </c>
    </row>
    <row r="903" spans="1:12" ht="21.75" customHeight="1" x14ac:dyDescent="0.25">
      <c r="A903" s="270">
        <v>1</v>
      </c>
      <c r="B903" s="313" t="s">
        <v>3174</v>
      </c>
      <c r="G903" s="270" t="s">
        <v>3301</v>
      </c>
      <c r="K903" s="313">
        <v>19770</v>
      </c>
      <c r="L903" s="270" t="s">
        <v>1939</v>
      </c>
    </row>
    <row r="904" spans="1:12" ht="21.75" customHeight="1" x14ac:dyDescent="0.25">
      <c r="A904" s="270">
        <v>1</v>
      </c>
      <c r="B904" s="313" t="s">
        <v>3175</v>
      </c>
      <c r="G904" s="270" t="s">
        <v>3176</v>
      </c>
      <c r="K904" s="313">
        <v>53760</v>
      </c>
      <c r="L904" s="270" t="s">
        <v>1939</v>
      </c>
    </row>
    <row r="905" spans="1:12" ht="21.75" customHeight="1" x14ac:dyDescent="0.25">
      <c r="A905" s="270">
        <v>1</v>
      </c>
      <c r="B905" s="313" t="s">
        <v>3177</v>
      </c>
      <c r="G905" s="270" t="s">
        <v>3178</v>
      </c>
      <c r="K905" s="313">
        <v>41040</v>
      </c>
      <c r="L905" s="270" t="s">
        <v>1939</v>
      </c>
    </row>
    <row r="906" spans="1:12" ht="21.75" customHeight="1" x14ac:dyDescent="0.25">
      <c r="A906" s="270">
        <v>1</v>
      </c>
      <c r="B906" s="313" t="s">
        <v>3179</v>
      </c>
      <c r="G906" s="270" t="s">
        <v>3180</v>
      </c>
      <c r="K906" s="313">
        <v>38520</v>
      </c>
      <c r="L906" s="270" t="s">
        <v>1939</v>
      </c>
    </row>
    <row r="907" spans="1:12" ht="21.75" customHeight="1" x14ac:dyDescent="0.25">
      <c r="A907" s="270">
        <v>1</v>
      </c>
      <c r="B907" s="313" t="s">
        <v>3181</v>
      </c>
      <c r="G907" s="270" t="s">
        <v>3182</v>
      </c>
      <c r="K907" s="313">
        <v>7560</v>
      </c>
      <c r="L907" s="270" t="s">
        <v>1939</v>
      </c>
    </row>
    <row r="908" spans="1:12" ht="21.75" customHeight="1" x14ac:dyDescent="0.25">
      <c r="A908" s="270">
        <v>1</v>
      </c>
      <c r="B908" s="313" t="s">
        <v>3183</v>
      </c>
      <c r="G908" s="270" t="s">
        <v>3184</v>
      </c>
      <c r="K908" s="313">
        <v>15240</v>
      </c>
      <c r="L908" s="270" t="s">
        <v>1939</v>
      </c>
    </row>
    <row r="909" spans="1:12" ht="21.75" customHeight="1" x14ac:dyDescent="0.25">
      <c r="A909" s="270">
        <v>1</v>
      </c>
      <c r="B909" s="313" t="s">
        <v>3185</v>
      </c>
      <c r="G909" s="270" t="s">
        <v>3186</v>
      </c>
      <c r="K909" s="313">
        <v>3240</v>
      </c>
      <c r="L909" s="270" t="s">
        <v>1939</v>
      </c>
    </row>
    <row r="910" spans="1:12" ht="21.75" customHeight="1" x14ac:dyDescent="0.25">
      <c r="A910" s="270">
        <v>1</v>
      </c>
      <c r="B910" s="313" t="s">
        <v>3187</v>
      </c>
      <c r="G910" s="270" t="s">
        <v>3188</v>
      </c>
      <c r="K910" s="313">
        <v>41040</v>
      </c>
      <c r="L910" s="270" t="s">
        <v>1939</v>
      </c>
    </row>
    <row r="911" spans="1:12" ht="21.75" customHeight="1" x14ac:dyDescent="0.25">
      <c r="A911" s="270">
        <v>1</v>
      </c>
      <c r="B911" s="313" t="s">
        <v>3189</v>
      </c>
      <c r="G911" s="270" t="s">
        <v>3190</v>
      </c>
      <c r="K911" s="313">
        <v>61320</v>
      </c>
      <c r="L911" s="270" t="s">
        <v>1939</v>
      </c>
    </row>
    <row r="912" spans="1:12" ht="21.75" customHeight="1" x14ac:dyDescent="0.25">
      <c r="A912" s="270">
        <v>1</v>
      </c>
      <c r="B912" s="313" t="s">
        <v>3191</v>
      </c>
      <c r="G912" s="270" t="s">
        <v>3192</v>
      </c>
      <c r="K912" s="313">
        <v>38520</v>
      </c>
      <c r="L912" s="270" t="s">
        <v>1939</v>
      </c>
    </row>
    <row r="913" spans="1:12" ht="21.75" customHeight="1" x14ac:dyDescent="0.25">
      <c r="A913" s="270">
        <v>1</v>
      </c>
      <c r="B913" s="313" t="s">
        <v>3193</v>
      </c>
      <c r="G913" s="270" t="s">
        <v>3194</v>
      </c>
      <c r="K913" s="313">
        <v>61320</v>
      </c>
      <c r="L913" s="270" t="s">
        <v>1939</v>
      </c>
    </row>
    <row r="914" spans="1:12" ht="21.75" customHeight="1" x14ac:dyDescent="0.25">
      <c r="A914" s="270">
        <v>1</v>
      </c>
      <c r="B914" s="313" t="s">
        <v>3195</v>
      </c>
      <c r="G914" s="270" t="s">
        <v>3196</v>
      </c>
      <c r="K914" s="313">
        <v>25920</v>
      </c>
      <c r="L914" s="270" t="s">
        <v>1939</v>
      </c>
    </row>
    <row r="915" spans="1:12" ht="21.75" customHeight="1" x14ac:dyDescent="0.25">
      <c r="A915" s="270">
        <v>1</v>
      </c>
      <c r="B915" s="313" t="s">
        <v>3197</v>
      </c>
      <c r="G915" s="270" t="s">
        <v>3198</v>
      </c>
      <c r="K915" s="313">
        <v>25440</v>
      </c>
      <c r="L915" s="270" t="s">
        <v>1939</v>
      </c>
    </row>
    <row r="916" spans="1:12" ht="21.75" customHeight="1" x14ac:dyDescent="0.25">
      <c r="A916" s="270">
        <v>1</v>
      </c>
      <c r="B916" s="313" t="s">
        <v>3199</v>
      </c>
      <c r="G916" s="270" t="s">
        <v>3200</v>
      </c>
      <c r="K916" s="313">
        <v>23640</v>
      </c>
      <c r="L916" s="270" t="s">
        <v>1939</v>
      </c>
    </row>
    <row r="917" spans="1:12" ht="21.75" customHeight="1" x14ac:dyDescent="0.25">
      <c r="A917" s="270">
        <v>1</v>
      </c>
      <c r="B917" s="313" t="s">
        <v>3201</v>
      </c>
      <c r="G917" s="270" t="s">
        <v>3202</v>
      </c>
      <c r="K917" s="313">
        <v>27480</v>
      </c>
      <c r="L917" s="270" t="s">
        <v>1939</v>
      </c>
    </row>
    <row r="918" spans="1:12" ht="21.75" customHeight="1" x14ac:dyDescent="0.25">
      <c r="A918" s="270">
        <v>1</v>
      </c>
      <c r="B918" s="313" t="s">
        <v>3203</v>
      </c>
      <c r="G918" s="270" t="s">
        <v>3204</v>
      </c>
      <c r="K918" s="313">
        <v>0</v>
      </c>
      <c r="L918" s="270" t="s">
        <v>1939</v>
      </c>
    </row>
    <row r="919" spans="1:12" ht="21.75" customHeight="1" x14ac:dyDescent="0.25">
      <c r="A919" s="270">
        <v>1</v>
      </c>
      <c r="B919" s="313" t="s">
        <v>3205</v>
      </c>
      <c r="G919" s="270" t="s">
        <v>3302</v>
      </c>
      <c r="K919" s="313">
        <v>15192</v>
      </c>
      <c r="L919" s="270" t="s">
        <v>1939</v>
      </c>
    </row>
    <row r="920" spans="1:12" ht="21.75" customHeight="1" x14ac:dyDescent="0.25">
      <c r="A920" s="270">
        <v>1</v>
      </c>
      <c r="B920" s="313" t="s">
        <v>3206</v>
      </c>
      <c r="G920" s="270" t="s">
        <v>3207</v>
      </c>
      <c r="K920" s="313">
        <v>0</v>
      </c>
      <c r="L920" s="270" t="s">
        <v>1939</v>
      </c>
    </row>
    <row r="921" spans="1:12" ht="21.75" customHeight="1" x14ac:dyDescent="0.25">
      <c r="A921" s="270">
        <v>1</v>
      </c>
      <c r="B921" s="313" t="s">
        <v>3208</v>
      </c>
      <c r="G921" s="270" t="s">
        <v>3209</v>
      </c>
      <c r="K921" s="313">
        <v>0</v>
      </c>
      <c r="L921" s="270" t="s">
        <v>1939</v>
      </c>
    </row>
    <row r="922" spans="1:12" ht="21.75" customHeight="1" x14ac:dyDescent="0.25">
      <c r="A922" s="270">
        <v>1</v>
      </c>
      <c r="B922" s="313" t="s">
        <v>3210</v>
      </c>
      <c r="G922" s="270" t="s">
        <v>3211</v>
      </c>
      <c r="K922" s="313">
        <v>0</v>
      </c>
      <c r="L922" s="270" t="s">
        <v>1939</v>
      </c>
    </row>
    <row r="923" spans="1:12" ht="21.75" customHeight="1" x14ac:dyDescent="0.25">
      <c r="A923" s="270">
        <v>1</v>
      </c>
      <c r="B923" s="313" t="s">
        <v>3212</v>
      </c>
      <c r="G923" s="270" t="s">
        <v>3213</v>
      </c>
      <c r="K923" s="313">
        <v>0</v>
      </c>
      <c r="L923" s="270" t="s">
        <v>1939</v>
      </c>
    </row>
    <row r="924" spans="1:12" ht="21.75" customHeight="1" x14ac:dyDescent="0.25">
      <c r="A924" s="270">
        <v>1</v>
      </c>
      <c r="B924" s="313" t="s">
        <v>3214</v>
      </c>
      <c r="G924" s="270" t="s">
        <v>3215</v>
      </c>
      <c r="K924" s="313">
        <v>0</v>
      </c>
      <c r="L924" s="270" t="s">
        <v>1939</v>
      </c>
    </row>
    <row r="925" spans="1:12" ht="21.75" customHeight="1" x14ac:dyDescent="0.25">
      <c r="A925" s="270">
        <v>1</v>
      </c>
      <c r="B925" s="313" t="s">
        <v>3216</v>
      </c>
      <c r="G925" s="270" t="s">
        <v>3217</v>
      </c>
      <c r="K925" s="313">
        <v>0</v>
      </c>
      <c r="L925" s="270" t="s">
        <v>1939</v>
      </c>
    </row>
    <row r="926" spans="1:12" ht="21.75" customHeight="1" x14ac:dyDescent="0.25">
      <c r="A926" s="270">
        <v>1</v>
      </c>
      <c r="B926" s="313" t="s">
        <v>3218</v>
      </c>
      <c r="G926" s="270" t="s">
        <v>3219</v>
      </c>
      <c r="K926" s="313">
        <v>0</v>
      </c>
      <c r="L926" s="270" t="s">
        <v>1939</v>
      </c>
    </row>
    <row r="927" spans="1:12" ht="21.75" customHeight="1" x14ac:dyDescent="0.25">
      <c r="A927" s="270">
        <v>1</v>
      </c>
      <c r="B927" s="313" t="s">
        <v>3220</v>
      </c>
      <c r="G927" s="270" t="s">
        <v>3221</v>
      </c>
      <c r="K927" s="313">
        <v>0</v>
      </c>
      <c r="L927" s="270" t="s">
        <v>1939</v>
      </c>
    </row>
    <row r="928" spans="1:12" ht="21.75" customHeight="1" x14ac:dyDescent="0.25">
      <c r="A928" s="270">
        <v>1</v>
      </c>
      <c r="B928" s="313" t="s">
        <v>3222</v>
      </c>
      <c r="G928" s="270" t="s">
        <v>3223</v>
      </c>
      <c r="K928" s="313">
        <v>0</v>
      </c>
      <c r="L928" s="270" t="s">
        <v>1939</v>
      </c>
    </row>
    <row r="929" spans="1:12" ht="21.75" customHeight="1" x14ac:dyDescent="0.25">
      <c r="A929" s="270">
        <v>1</v>
      </c>
      <c r="B929" s="313" t="s">
        <v>3224</v>
      </c>
      <c r="G929" s="270" t="s">
        <v>3225</v>
      </c>
      <c r="K929" s="313">
        <v>34200</v>
      </c>
      <c r="L929" s="270" t="s">
        <v>1939</v>
      </c>
    </row>
    <row r="930" spans="1:12" ht="21.75" customHeight="1" x14ac:dyDescent="0.25">
      <c r="A930" s="270">
        <v>1</v>
      </c>
      <c r="B930" s="313" t="s">
        <v>3226</v>
      </c>
      <c r="G930" s="270" t="s">
        <v>3227</v>
      </c>
      <c r="K930" s="313">
        <v>46800</v>
      </c>
      <c r="L930" s="270" t="s">
        <v>1939</v>
      </c>
    </row>
    <row r="931" spans="1:12" ht="21.75" customHeight="1" x14ac:dyDescent="0.25">
      <c r="A931" s="270">
        <v>1</v>
      </c>
      <c r="B931" s="313" t="s">
        <v>3228</v>
      </c>
      <c r="G931" s="270" t="s">
        <v>3229</v>
      </c>
      <c r="K931" s="313">
        <v>32400</v>
      </c>
      <c r="L931" s="270" t="s">
        <v>1939</v>
      </c>
    </row>
    <row r="932" spans="1:12" ht="21.75" customHeight="1" x14ac:dyDescent="0.25">
      <c r="A932" s="270">
        <v>1</v>
      </c>
      <c r="B932" s="313" t="s">
        <v>3230</v>
      </c>
      <c r="G932" s="270" t="s">
        <v>3231</v>
      </c>
      <c r="K932" s="313">
        <v>31200</v>
      </c>
      <c r="L932" s="270" t="s">
        <v>1939</v>
      </c>
    </row>
    <row r="933" spans="1:12" ht="21.75" customHeight="1" x14ac:dyDescent="0.25">
      <c r="A933" s="270">
        <v>1</v>
      </c>
      <c r="B933" s="313" t="s">
        <v>3232</v>
      </c>
      <c r="G933" s="270" t="s">
        <v>3233</v>
      </c>
      <c r="K933" s="313">
        <v>33600</v>
      </c>
      <c r="L933" s="270" t="s">
        <v>1939</v>
      </c>
    </row>
    <row r="934" spans="1:12" ht="21.75" customHeight="1" x14ac:dyDescent="0.25">
      <c r="A934" s="270">
        <v>1</v>
      </c>
      <c r="B934" s="313" t="s">
        <v>3234</v>
      </c>
      <c r="G934" s="270" t="s">
        <v>3235</v>
      </c>
      <c r="K934" s="313">
        <v>31800</v>
      </c>
      <c r="L934" s="270" t="s">
        <v>1939</v>
      </c>
    </row>
    <row r="935" spans="1:12" ht="21.75" customHeight="1" x14ac:dyDescent="0.25">
      <c r="A935" s="270">
        <v>1</v>
      </c>
      <c r="B935" s="313" t="s">
        <v>3236</v>
      </c>
      <c r="G935" s="270" t="s">
        <v>3237</v>
      </c>
      <c r="K935" s="313">
        <v>34800</v>
      </c>
      <c r="L935" s="270" t="s">
        <v>1939</v>
      </c>
    </row>
    <row r="936" spans="1:12" ht="21.75" customHeight="1" x14ac:dyDescent="0.25">
      <c r="A936" s="270">
        <v>1</v>
      </c>
      <c r="B936" s="313" t="s">
        <v>3238</v>
      </c>
      <c r="G936" s="270" t="s">
        <v>3239</v>
      </c>
      <c r="K936" s="313">
        <v>40800</v>
      </c>
      <c r="L936" s="270" t="s">
        <v>1939</v>
      </c>
    </row>
    <row r="937" spans="1:12" ht="21.75" customHeight="1" x14ac:dyDescent="0.25">
      <c r="A937" s="270">
        <v>1</v>
      </c>
      <c r="B937" s="313" t="s">
        <v>3240</v>
      </c>
      <c r="G937" s="270" t="s">
        <v>3241</v>
      </c>
      <c r="K937" s="313">
        <v>39600</v>
      </c>
      <c r="L937" s="270" t="s">
        <v>1939</v>
      </c>
    </row>
    <row r="938" spans="1:12" ht="21.75" customHeight="1" x14ac:dyDescent="0.25">
      <c r="A938" s="270">
        <v>1</v>
      </c>
      <c r="B938" s="313" t="s">
        <v>3242</v>
      </c>
      <c r="G938" s="270" t="s">
        <v>3243</v>
      </c>
      <c r="K938" s="313">
        <v>48600</v>
      </c>
      <c r="L938" s="270" t="s">
        <v>1939</v>
      </c>
    </row>
    <row r="939" spans="1:12" ht="21.75" customHeight="1" x14ac:dyDescent="0.25">
      <c r="A939" s="270">
        <v>1</v>
      </c>
      <c r="B939" s="313" t="s">
        <v>3244</v>
      </c>
      <c r="G939" s="270" t="s">
        <v>3245</v>
      </c>
      <c r="K939" s="313">
        <v>54600</v>
      </c>
      <c r="L939" s="270" t="s">
        <v>1939</v>
      </c>
    </row>
    <row r="940" spans="1:12" ht="21.75" customHeight="1" x14ac:dyDescent="0.25">
      <c r="A940" s="270">
        <v>1</v>
      </c>
      <c r="B940" s="313" t="s">
        <v>3246</v>
      </c>
      <c r="G940" s="270" t="s">
        <v>3247</v>
      </c>
      <c r="K940" s="313">
        <v>51600</v>
      </c>
      <c r="L940" s="270" t="s">
        <v>1939</v>
      </c>
    </row>
    <row r="941" spans="1:12" ht="21.75" customHeight="1" x14ac:dyDescent="0.25">
      <c r="A941" s="270">
        <v>1</v>
      </c>
      <c r="B941" s="313" t="s">
        <v>3248</v>
      </c>
      <c r="G941" s="270" t="s">
        <v>3249</v>
      </c>
      <c r="K941" s="313">
        <v>61200</v>
      </c>
      <c r="L941" s="270" t="s">
        <v>1939</v>
      </c>
    </row>
    <row r="942" spans="1:12" ht="21.75" customHeight="1" x14ac:dyDescent="0.25">
      <c r="A942" s="270">
        <v>1</v>
      </c>
      <c r="B942" s="313" t="s">
        <v>3250</v>
      </c>
      <c r="G942" s="270" t="s">
        <v>3251</v>
      </c>
      <c r="K942" s="313">
        <v>58800</v>
      </c>
      <c r="L942" s="270" t="s">
        <v>1939</v>
      </c>
    </row>
    <row r="943" spans="1:12" ht="21.75" customHeight="1" x14ac:dyDescent="0.25">
      <c r="A943" s="270">
        <v>1</v>
      </c>
      <c r="B943" s="313" t="s">
        <v>3252</v>
      </c>
      <c r="G943" s="270" t="s">
        <v>3253</v>
      </c>
      <c r="K943" s="313">
        <v>84000</v>
      </c>
      <c r="L943" s="270" t="s">
        <v>1939</v>
      </c>
    </row>
    <row r="944" spans="1:12" ht="21.75" customHeight="1" x14ac:dyDescent="0.25">
      <c r="A944" s="270">
        <v>1</v>
      </c>
      <c r="B944" s="313" t="s">
        <v>3254</v>
      </c>
      <c r="G944" s="270" t="s">
        <v>3255</v>
      </c>
      <c r="K944" s="313">
        <v>78000</v>
      </c>
      <c r="L944" s="270" t="s">
        <v>1939</v>
      </c>
    </row>
    <row r="945" spans="1:12" ht="21.75" customHeight="1" x14ac:dyDescent="0.25">
      <c r="A945" s="270">
        <v>1</v>
      </c>
      <c r="B945" s="313" t="s">
        <v>3256</v>
      </c>
      <c r="G945" s="270" t="s">
        <v>3257</v>
      </c>
      <c r="K945" s="313">
        <v>0</v>
      </c>
      <c r="L945" s="270" t="s">
        <v>1939</v>
      </c>
    </row>
    <row r="946" spans="1:12" ht="21.75" customHeight="1" x14ac:dyDescent="0.25">
      <c r="A946" s="270">
        <v>1</v>
      </c>
      <c r="B946" s="313" t="s">
        <v>3258</v>
      </c>
      <c r="G946" s="270" t="s">
        <v>3259</v>
      </c>
      <c r="K946" s="313">
        <v>51120</v>
      </c>
      <c r="L946" s="270" t="s">
        <v>1939</v>
      </c>
    </row>
    <row r="947" spans="1:12" ht="21.75" customHeight="1" x14ac:dyDescent="0.25">
      <c r="A947" s="270">
        <v>1</v>
      </c>
      <c r="B947" s="313" t="s">
        <v>3260</v>
      </c>
      <c r="G947" s="270" t="s">
        <v>3261</v>
      </c>
      <c r="K947" s="313">
        <v>2400</v>
      </c>
      <c r="L947" s="270" t="s">
        <v>1939</v>
      </c>
    </row>
    <row r="948" spans="1:12" ht="21.75" customHeight="1" x14ac:dyDescent="0.25">
      <c r="A948" s="270">
        <v>1</v>
      </c>
      <c r="B948" s="313" t="s">
        <v>3262</v>
      </c>
      <c r="G948" s="270" t="s">
        <v>3263</v>
      </c>
      <c r="K948" s="313">
        <v>2580</v>
      </c>
      <c r="L948" s="270" t="s">
        <v>1939</v>
      </c>
    </row>
    <row r="949" spans="1:12" ht="21.75" customHeight="1" x14ac:dyDescent="0.25">
      <c r="A949" s="270">
        <v>1</v>
      </c>
      <c r="B949" s="313" t="s">
        <v>3264</v>
      </c>
      <c r="G949" s="270" t="s">
        <v>3265</v>
      </c>
      <c r="K949" s="313">
        <v>2016</v>
      </c>
      <c r="L949" s="270" t="s">
        <v>1939</v>
      </c>
    </row>
    <row r="950" spans="1:12" ht="21.75" customHeight="1" x14ac:dyDescent="0.25">
      <c r="B950" s="313"/>
      <c r="K950" s="313"/>
    </row>
    <row r="951" spans="1:12" ht="21.75" customHeight="1" x14ac:dyDescent="0.25">
      <c r="B951" s="313"/>
      <c r="K951" s="313"/>
    </row>
    <row r="952" spans="1:12" ht="21.75" customHeight="1" x14ac:dyDescent="0.25">
      <c r="B952" s="313"/>
      <c r="K952" s="313"/>
    </row>
    <row r="953" spans="1:12" ht="21.75" customHeight="1" x14ac:dyDescent="0.25">
      <c r="B953" s="313"/>
      <c r="K953" s="313"/>
    </row>
    <row r="954" spans="1:12" ht="21.75" customHeight="1" x14ac:dyDescent="0.25">
      <c r="B954" s="313"/>
      <c r="K954" s="313"/>
    </row>
    <row r="955" spans="1:12" ht="21.75" customHeight="1" x14ac:dyDescent="0.25">
      <c r="B955" s="313"/>
      <c r="K955" s="313"/>
    </row>
    <row r="956" spans="1:12" ht="21.75" customHeight="1" x14ac:dyDescent="0.25">
      <c r="B956" s="313"/>
      <c r="K956" s="313"/>
    </row>
    <row r="957" spans="1:12" ht="21.75" customHeight="1" x14ac:dyDescent="0.25">
      <c r="B957" s="313"/>
      <c r="K957" s="313"/>
    </row>
    <row r="958" spans="1:12" ht="21.75" customHeight="1" x14ac:dyDescent="0.25">
      <c r="B958" s="313"/>
      <c r="K958" s="313"/>
    </row>
    <row r="959" spans="1:12" ht="21.75" customHeight="1" x14ac:dyDescent="0.25">
      <c r="B959" s="313"/>
      <c r="K959" s="313"/>
    </row>
    <row r="960" spans="1:12" ht="21.75" customHeight="1" x14ac:dyDescent="0.25">
      <c r="B960" s="313"/>
      <c r="K960" s="313"/>
    </row>
    <row r="961" spans="2:11" ht="21.75" customHeight="1" x14ac:dyDescent="0.25">
      <c r="B961" s="313"/>
      <c r="K961" s="313"/>
    </row>
    <row r="962" spans="2:11" ht="21.75" customHeight="1" x14ac:dyDescent="0.25">
      <c r="B962" s="313"/>
      <c r="K962" s="313"/>
    </row>
    <row r="963" spans="2:11" ht="21.75" customHeight="1" x14ac:dyDescent="0.25">
      <c r="B963" s="313"/>
      <c r="K963" s="313"/>
    </row>
    <row r="964" spans="2:11" ht="21.75" customHeight="1" x14ac:dyDescent="0.25">
      <c r="B964" s="313"/>
      <c r="K964" s="313"/>
    </row>
    <row r="965" spans="2:11" ht="21.75" customHeight="1" x14ac:dyDescent="0.25">
      <c r="B965" s="313"/>
      <c r="K965" s="313"/>
    </row>
    <row r="966" spans="2:11" ht="21.75" customHeight="1" x14ac:dyDescent="0.25">
      <c r="B966" s="313"/>
      <c r="K966" s="313"/>
    </row>
    <row r="967" spans="2:11" ht="21.75" customHeight="1" x14ac:dyDescent="0.25">
      <c r="B967" s="313"/>
      <c r="K967" s="313"/>
    </row>
    <row r="968" spans="2:11" ht="21.75" customHeight="1" x14ac:dyDescent="0.25">
      <c r="B968" s="313"/>
      <c r="K968" s="313"/>
    </row>
    <row r="969" spans="2:11" ht="21.75" customHeight="1" x14ac:dyDescent="0.25">
      <c r="B969" s="313"/>
      <c r="K969" s="313"/>
    </row>
  </sheetData>
  <mergeCells count="8">
    <mergeCell ref="G1:G2"/>
    <mergeCell ref="H1:K1"/>
    <mergeCell ref="A1:A2"/>
    <mergeCell ref="B1:B2"/>
    <mergeCell ref="C1:C2"/>
    <mergeCell ref="D1:D2"/>
    <mergeCell ref="E1:E2"/>
    <mergeCell ref="F1:F2"/>
  </mergeCells>
  <conditionalFormatting sqref="K13">
    <cfRule type="duplicateValues" dxfId="6" priority="6"/>
  </conditionalFormatting>
  <conditionalFormatting sqref="K178:K199">
    <cfRule type="duplicateValues" dxfId="5" priority="5"/>
  </conditionalFormatting>
  <conditionalFormatting sqref="B1:B257 B517:B739 B970:B1048576">
    <cfRule type="duplicateValues" dxfId="4" priority="4"/>
  </conditionalFormatting>
  <conditionalFormatting sqref="B117:B257 B3:B103">
    <cfRule type="duplicateValues" dxfId="3" priority="7"/>
  </conditionalFormatting>
  <conditionalFormatting sqref="K423:K462">
    <cfRule type="duplicateValues" dxfId="2" priority="3"/>
  </conditionalFormatting>
  <conditionalFormatting sqref="B740:B969">
    <cfRule type="duplicateValues" dxfId="1" priority="2"/>
  </conditionalFormatting>
  <conditionalFormatting sqref="K740:K96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Гигатерм Прайс</vt:lpstr>
      <vt:lpstr>Выгрузка из 1С</vt:lpstr>
      <vt:lpstr>'Гигатерм Прайс'!Print_Area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Ильгар Аскеров</dc:creator>
  <cp:lastModifiedBy>1С</cp:lastModifiedBy>
  <cp:lastPrinted>2024-04-03T06:27:41Z</cp:lastPrinted>
  <dcterms:created xsi:type="dcterms:W3CDTF">2018-12-08T05:52:32Z</dcterms:created>
  <dcterms:modified xsi:type="dcterms:W3CDTF">2024-04-09T07:42:19Z</dcterms:modified>
</cp:coreProperties>
</file>